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D:\Desktop\THỐNG KÊ CÁC NĂM\Năm 2025\Cục Hàng hải và đường thủy Việt Nam\"/>
    </mc:Choice>
  </mc:AlternateContent>
  <xr:revisionPtr revIDLastSave="0" documentId="13_ncr:1_{07AEC67E-4DFE-4FB4-9A2F-7C28C783A343}" xr6:coauthVersionLast="47" xr6:coauthVersionMax="47" xr10:uidLastSave="{00000000-0000-0000-0000-000000000000}"/>
  <bookViews>
    <workbookView xWindow="-120" yWindow="-120" windowWidth="20730" windowHeight="11160" firstSheet="9" activeTab="13" xr2:uid="{00000000-000D-0000-FFFF-FFFF00000000}"/>
  </bookViews>
  <sheets>
    <sheet name="T1-2025" sheetId="1" r:id="rId1"/>
    <sheet name="T2-2025" sheetId="2" r:id="rId2"/>
    <sheet name="T3-2025" sheetId="4" r:id="rId3"/>
    <sheet name="T4-2025" sheetId="5" r:id="rId4"/>
    <sheet name="T5-2025" sheetId="6" r:id="rId5"/>
    <sheet name="T6-2025" sheetId="7" r:id="rId6"/>
    <sheet name="T7-2025" sheetId="3" r:id="rId7"/>
    <sheet name="T8-2025" sheetId="8" r:id="rId8"/>
    <sheet name="T9-2025" sheetId="9" r:id="rId9"/>
    <sheet name="T10-2025" sheetId="10" r:id="rId10"/>
    <sheet name="T11-2025" sheetId="11" r:id="rId11"/>
    <sheet name="T12-2025" sheetId="12" r:id="rId12"/>
    <sheet name="Năm 2024" sheetId="13" r:id="rId13"/>
    <sheet name="Sheet1" sheetId="14" r:id="rId14"/>
  </sheets>
  <definedNames>
    <definedName name="_xlnm.Print_Area" localSheetId="0">'T1-2025'!$A$1:$J$37</definedName>
    <definedName name="_xlnm.Print_Area" localSheetId="1">'T2-2025'!$A$1:$J$37</definedName>
    <definedName name="_xlnm.Print_Area" localSheetId="3">'T4-2025'!$A$1:$J$35</definedName>
    <definedName name="_xlnm.Print_Area" localSheetId="4">'T5-2025'!$A$1:$J$37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4" l="1"/>
  <c r="B21" i="14"/>
  <c r="L21" i="12"/>
  <c r="L22" i="12"/>
  <c r="L23" i="12"/>
  <c r="L24" i="12"/>
  <c r="L25" i="12"/>
  <c r="L20" i="12"/>
  <c r="F34" i="12" l="1"/>
  <c r="G34" i="12" s="1"/>
  <c r="G32" i="12"/>
  <c r="G33" i="12"/>
  <c r="G31" i="12"/>
  <c r="G28" i="12"/>
  <c r="G29" i="12"/>
  <c r="G27" i="12"/>
  <c r="G21" i="12"/>
  <c r="G22" i="12"/>
  <c r="G23" i="12"/>
  <c r="G24" i="12"/>
  <c r="G25" i="12"/>
  <c r="G20" i="12"/>
  <c r="F33" i="12"/>
  <c r="F32" i="12"/>
  <c r="F31" i="12"/>
  <c r="F29" i="12"/>
  <c r="F28" i="12"/>
  <c r="F27" i="12"/>
  <c r="F25" i="12"/>
  <c r="F24" i="12"/>
  <c r="F23" i="12"/>
  <c r="F22" i="12"/>
  <c r="F21" i="12"/>
  <c r="F20" i="12"/>
  <c r="K13" i="11"/>
  <c r="K14" i="11"/>
  <c r="K15" i="11"/>
  <c r="K16" i="11"/>
  <c r="K17" i="11"/>
  <c r="K18" i="11"/>
  <c r="K19" i="11"/>
  <c r="K20" i="11"/>
  <c r="K21" i="11"/>
  <c r="K22" i="11"/>
  <c r="K23" i="11"/>
  <c r="K24" i="11"/>
  <c r="K25" i="11"/>
  <c r="K26" i="11"/>
  <c r="K27" i="11"/>
  <c r="K28" i="11"/>
  <c r="K29" i="11"/>
  <c r="K30" i="11"/>
  <c r="K31" i="11"/>
  <c r="K32" i="11"/>
  <c r="K33" i="11"/>
  <c r="K34" i="11"/>
  <c r="K35" i="11"/>
  <c r="K12" i="11"/>
  <c r="L16" i="11"/>
  <c r="L17" i="11"/>
  <c r="L20" i="11"/>
  <c r="L21" i="11"/>
  <c r="L22" i="11"/>
  <c r="L23" i="11"/>
  <c r="L24" i="11"/>
  <c r="L25" i="11"/>
  <c r="L26" i="11"/>
  <c r="L27" i="11"/>
  <c r="L28" i="11"/>
  <c r="L29" i="11"/>
  <c r="L31" i="11"/>
  <c r="L32" i="11"/>
  <c r="L33" i="11"/>
  <c r="L34" i="11"/>
  <c r="L35" i="11"/>
  <c r="H33" i="11" l="1"/>
  <c r="H32" i="11"/>
  <c r="H31" i="11"/>
  <c r="H29" i="11"/>
  <c r="H28" i="11"/>
  <c r="H25" i="11"/>
  <c r="H24" i="11"/>
  <c r="H23" i="11"/>
  <c r="H22" i="11"/>
  <c r="H21" i="11"/>
  <c r="H20" i="11"/>
  <c r="H27" i="11" l="1"/>
  <c r="J18" i="10" l="1"/>
  <c r="J19" i="10"/>
  <c r="M21" i="10"/>
  <c r="N21" i="10" s="1"/>
  <c r="J26" i="10"/>
  <c r="J30" i="10"/>
  <c r="J34" i="10"/>
  <c r="J12" i="10"/>
  <c r="M20" i="10"/>
  <c r="N20" i="10" s="1"/>
  <c r="M22" i="10"/>
  <c r="N22" i="10" s="1"/>
  <c r="M23" i="10"/>
  <c r="N23" i="10" s="1"/>
  <c r="M24" i="10"/>
  <c r="N24" i="10" s="1"/>
  <c r="M25" i="10"/>
  <c r="N25" i="10" s="1"/>
  <c r="M19" i="10"/>
  <c r="N19" i="10" s="1"/>
  <c r="M18" i="10"/>
  <c r="N18" i="10" s="1"/>
  <c r="H19" i="10" l="1"/>
  <c r="H30" i="10"/>
  <c r="H26" i="10"/>
  <c r="F16" i="10"/>
  <c r="F20" i="10"/>
  <c r="F21" i="10"/>
  <c r="F22" i="10"/>
  <c r="F23" i="10"/>
  <c r="F24" i="10"/>
  <c r="F25" i="10"/>
  <c r="F27" i="10"/>
  <c r="F28" i="10"/>
  <c r="F29" i="10"/>
  <c r="F31" i="10"/>
  <c r="F32" i="10"/>
  <c r="F33" i="10"/>
  <c r="F34" i="10"/>
  <c r="H33" i="10"/>
  <c r="H32" i="10"/>
  <c r="H31" i="10"/>
  <c r="H29" i="10"/>
  <c r="H28" i="10"/>
  <c r="H27" i="10"/>
  <c r="H25" i="10"/>
  <c r="H24" i="10"/>
  <c r="H23" i="10"/>
  <c r="H22" i="10"/>
  <c r="H21" i="10"/>
  <c r="H20" i="10"/>
  <c r="H18" i="10" l="1"/>
  <c r="L13" i="9"/>
  <c r="L14" i="9"/>
  <c r="L15" i="9"/>
  <c r="L16" i="9"/>
  <c r="L17" i="9"/>
  <c r="L18" i="9"/>
  <c r="L19" i="9"/>
  <c r="L20" i="9"/>
  <c r="L21" i="9"/>
  <c r="L22" i="9"/>
  <c r="L23" i="9"/>
  <c r="L24" i="9"/>
  <c r="L25" i="9"/>
  <c r="L12" i="9"/>
  <c r="I13" i="9" l="1"/>
  <c r="H12" i="9"/>
  <c r="F33" i="9"/>
  <c r="F32" i="9"/>
  <c r="F31" i="9"/>
  <c r="F29" i="9"/>
  <c r="F28" i="9"/>
  <c r="F27" i="9"/>
  <c r="F25" i="9"/>
  <c r="F24" i="9"/>
  <c r="F23" i="9"/>
  <c r="F22" i="9"/>
  <c r="F21" i="9"/>
  <c r="F20" i="9"/>
  <c r="G20" i="9" s="1"/>
  <c r="H33" i="9"/>
  <c r="H32" i="9"/>
  <c r="H31" i="9"/>
  <c r="H29" i="9"/>
  <c r="H28" i="9"/>
  <c r="H27" i="9"/>
  <c r="H25" i="9"/>
  <c r="H24" i="9"/>
  <c r="H23" i="9"/>
  <c r="H22" i="9"/>
  <c r="H21" i="9"/>
  <c r="H20" i="9"/>
  <c r="F34" i="9"/>
  <c r="H30" i="9" l="1"/>
  <c r="H26" i="9"/>
  <c r="H19" i="9"/>
  <c r="H18" i="9"/>
  <c r="P18" i="8" l="1"/>
  <c r="P19" i="8"/>
  <c r="P20" i="8"/>
  <c r="P21" i="8"/>
  <c r="P22" i="8"/>
  <c r="P23" i="8"/>
  <c r="P24" i="8"/>
  <c r="P17" i="8"/>
  <c r="F32" i="8"/>
  <c r="F31" i="8"/>
  <c r="F30" i="8"/>
  <c r="F28" i="8"/>
  <c r="F27" i="8"/>
  <c r="F26" i="8"/>
  <c r="F24" i="8"/>
  <c r="F23" i="8"/>
  <c r="F22" i="8"/>
  <c r="F21" i="8"/>
  <c r="F20" i="8"/>
  <c r="F19" i="8"/>
  <c r="K11" i="8" l="1"/>
  <c r="N11" i="8" s="1"/>
  <c r="K12" i="8"/>
  <c r="N12" i="8"/>
  <c r="K13" i="8"/>
  <c r="N13" i="8"/>
  <c r="K14" i="8"/>
  <c r="N14" i="8"/>
  <c r="N15" i="8"/>
  <c r="N16" i="8"/>
  <c r="K17" i="8"/>
  <c r="N17" i="8"/>
  <c r="K18" i="8"/>
  <c r="L19" i="8"/>
  <c r="N19" i="8"/>
  <c r="L20" i="8"/>
  <c r="N20" i="8"/>
  <c r="L21" i="8"/>
  <c r="N21" i="8"/>
  <c r="L22" i="8"/>
  <c r="N22" i="8"/>
  <c r="L23" i="8"/>
  <c r="N23" i="8"/>
  <c r="L24" i="8"/>
  <c r="N24" i="8"/>
  <c r="K25" i="8"/>
  <c r="N25" i="8"/>
  <c r="N26" i="8"/>
  <c r="N27" i="8"/>
  <c r="N28" i="8"/>
  <c r="K29" i="8"/>
  <c r="N29" i="8" s="1"/>
  <c r="N30" i="8"/>
  <c r="N31" i="8"/>
  <c r="N32" i="8"/>
  <c r="F34" i="8"/>
  <c r="H29" i="8"/>
  <c r="H25" i="8"/>
  <c r="H18" i="8"/>
  <c r="H17" i="8"/>
  <c r="E15" i="8"/>
  <c r="I12" i="3"/>
  <c r="H12" i="3"/>
  <c r="F33" i="3"/>
  <c r="F32" i="3"/>
  <c r="F31" i="3"/>
  <c r="F29" i="3"/>
  <c r="F28" i="3"/>
  <c r="F27" i="3"/>
  <c r="F25" i="3"/>
  <c r="F24" i="3"/>
  <c r="F23" i="3"/>
  <c r="F22" i="3"/>
  <c r="F21" i="3"/>
  <c r="F20" i="3"/>
  <c r="F34" i="3"/>
  <c r="M13" i="3"/>
  <c r="M14" i="3"/>
  <c r="M15" i="3"/>
  <c r="M16" i="3"/>
  <c r="M17" i="3"/>
  <c r="M18" i="3"/>
  <c r="M19" i="3"/>
  <c r="M20" i="3"/>
  <c r="M21" i="3"/>
  <c r="M22" i="3"/>
  <c r="M23" i="3"/>
  <c r="M24" i="3"/>
  <c r="M25" i="3"/>
  <c r="M26" i="3"/>
  <c r="M27" i="3"/>
  <c r="M28" i="3"/>
  <c r="M29" i="3"/>
  <c r="M30" i="3"/>
  <c r="M31" i="3"/>
  <c r="M32" i="3"/>
  <c r="M33" i="3"/>
  <c r="M34" i="3"/>
  <c r="M35" i="3"/>
  <c r="M12" i="3"/>
  <c r="N18" i="8" l="1"/>
  <c r="K30" i="3"/>
  <c r="K26" i="3"/>
  <c r="K19" i="3"/>
  <c r="K18" i="3"/>
  <c r="K15" i="3"/>
  <c r="K14" i="3"/>
  <c r="K13" i="3"/>
  <c r="L25" i="7"/>
  <c r="L23" i="7"/>
  <c r="L21" i="7"/>
  <c r="K12" i="3" l="1"/>
  <c r="H33" i="7"/>
  <c r="H32" i="7"/>
  <c r="H31" i="7"/>
  <c r="H29" i="7"/>
  <c r="H28" i="7"/>
  <c r="H27" i="7"/>
  <c r="H25" i="7"/>
  <c r="H24" i="7"/>
  <c r="H23" i="7"/>
  <c r="H22" i="7"/>
  <c r="H21" i="7"/>
  <c r="H20" i="7"/>
  <c r="G27" i="7"/>
  <c r="F34" i="7"/>
  <c r="G34" i="7" s="1"/>
  <c r="F33" i="7"/>
  <c r="G33" i="7" s="1"/>
  <c r="F32" i="7"/>
  <c r="G32" i="7" s="1"/>
  <c r="F31" i="7"/>
  <c r="G31" i="7" s="1"/>
  <c r="F29" i="7"/>
  <c r="G29" i="7" s="1"/>
  <c r="F28" i="7"/>
  <c r="G28" i="7" s="1"/>
  <c r="F27" i="7"/>
  <c r="F25" i="7"/>
  <c r="G25" i="7" s="1"/>
  <c r="F24" i="7"/>
  <c r="G24" i="7" s="1"/>
  <c r="F23" i="7"/>
  <c r="G23" i="7" s="1"/>
  <c r="F22" i="7"/>
  <c r="G22" i="7" s="1"/>
  <c r="F21" i="7"/>
  <c r="G21" i="7" s="1"/>
  <c r="F20" i="7"/>
  <c r="G20" i="7" s="1"/>
  <c r="F16" i="7"/>
  <c r="G16" i="7" s="1"/>
  <c r="K22" i="6"/>
  <c r="K21" i="6"/>
  <c r="K20" i="6"/>
  <c r="F20" i="6"/>
  <c r="F21" i="6"/>
  <c r="H26" i="7" l="1"/>
  <c r="G14" i="7"/>
  <c r="G18" i="7"/>
  <c r="H15" i="7"/>
  <c r="H30" i="7"/>
  <c r="H14" i="7"/>
  <c r="H13" i="7"/>
  <c r="H19" i="7"/>
  <c r="H12" i="7"/>
  <c r="H18" i="7"/>
  <c r="G26" i="7"/>
  <c r="G13" i="7"/>
  <c r="G30" i="7"/>
  <c r="G19" i="7"/>
  <c r="G15" i="7"/>
  <c r="P13" i="6"/>
  <c r="P14" i="6"/>
  <c r="P15" i="6"/>
  <c r="P16" i="6"/>
  <c r="P17" i="6"/>
  <c r="P18" i="6"/>
  <c r="P19" i="6"/>
  <c r="P20" i="6"/>
  <c r="P21" i="6"/>
  <c r="P22" i="6"/>
  <c r="P23" i="6"/>
  <c r="P24" i="6"/>
  <c r="P25" i="6"/>
  <c r="P26" i="6"/>
  <c r="P27" i="6"/>
  <c r="P28" i="6"/>
  <c r="P29" i="6"/>
  <c r="P30" i="6"/>
  <c r="P31" i="6"/>
  <c r="P32" i="6"/>
  <c r="P33" i="6"/>
  <c r="P34" i="6"/>
  <c r="P12" i="6"/>
  <c r="O12" i="6"/>
  <c r="G12" i="7" l="1"/>
  <c r="N30" i="6"/>
  <c r="N26" i="6"/>
  <c r="N19" i="6"/>
  <c r="N18" i="6"/>
  <c r="N15" i="6"/>
  <c r="N12" i="6" s="1"/>
  <c r="N14" i="6"/>
  <c r="N13" i="6"/>
  <c r="F33" i="5" l="1"/>
  <c r="F20" i="5" l="1"/>
  <c r="H24" i="5"/>
  <c r="H25" i="5"/>
  <c r="H29" i="5"/>
  <c r="H33" i="5"/>
  <c r="F21" i="5"/>
  <c r="H32" i="5" l="1"/>
  <c r="H31" i="5"/>
  <c r="H28" i="5"/>
  <c r="H23" i="5"/>
  <c r="H22" i="5"/>
  <c r="H21" i="5"/>
  <c r="H20" i="5"/>
  <c r="H30" i="5" l="1"/>
  <c r="H26" i="5"/>
  <c r="H19" i="5"/>
  <c r="H18" i="5"/>
  <c r="H15" i="5"/>
  <c r="H14" i="5"/>
  <c r="H13" i="5"/>
  <c r="H12" i="5" l="1"/>
  <c r="E18" i="5"/>
  <c r="E19" i="5"/>
  <c r="F33" i="4" l="1"/>
  <c r="F32" i="4"/>
  <c r="F31" i="4"/>
  <c r="F30" i="4"/>
  <c r="F28" i="4"/>
  <c r="F27" i="4"/>
  <c r="F26" i="4"/>
  <c r="F24" i="4"/>
  <c r="F23" i="4"/>
  <c r="F22" i="4"/>
  <c r="F21" i="4"/>
  <c r="F19" i="4"/>
  <c r="F20" i="4"/>
  <c r="H14" i="4"/>
  <c r="H13" i="4"/>
  <c r="H12" i="4"/>
  <c r="E19" i="2"/>
  <c r="L13" i="2"/>
  <c r="L14" i="2"/>
  <c r="L15" i="2"/>
  <c r="L16" i="2"/>
  <c r="L17" i="2"/>
  <c r="L18" i="2"/>
  <c r="L19" i="2"/>
  <c r="L20" i="2"/>
  <c r="L21" i="2"/>
  <c r="L22" i="2"/>
  <c r="L23" i="2"/>
  <c r="L24" i="2"/>
  <c r="L25" i="2"/>
  <c r="L12" i="2"/>
  <c r="F25" i="2"/>
  <c r="F23" i="2"/>
  <c r="F21" i="2"/>
  <c r="F33" i="2"/>
  <c r="F16" i="2"/>
  <c r="F24" i="2"/>
  <c r="F22" i="2"/>
  <c r="F20" i="2"/>
  <c r="H30" i="2"/>
  <c r="H26" i="2"/>
  <c r="H19" i="2"/>
  <c r="H18" i="2"/>
  <c r="F34" i="2"/>
  <c r="F32" i="2"/>
  <c r="F31" i="2"/>
  <c r="F29" i="2"/>
  <c r="F28" i="2"/>
  <c r="F27" i="2"/>
  <c r="I15" i="1"/>
  <c r="F26" i="1"/>
  <c r="F30" i="1"/>
  <c r="G34" i="1"/>
  <c r="G32" i="1"/>
  <c r="G33" i="1"/>
  <c r="G31" i="1"/>
  <c r="G28" i="1"/>
  <c r="G29" i="1"/>
  <c r="G27" i="1"/>
  <c r="G21" i="1"/>
  <c r="G22" i="1"/>
  <c r="G23" i="1"/>
  <c r="G24" i="1"/>
  <c r="G18" i="1" s="1"/>
  <c r="G25" i="1"/>
  <c r="G20" i="1"/>
  <c r="H30" i="1"/>
  <c r="H26" i="1"/>
  <c r="H19" i="1"/>
  <c r="H18" i="1"/>
  <c r="H15" i="1"/>
  <c r="H14" i="1"/>
  <c r="H13" i="1"/>
  <c r="H12" i="1"/>
  <c r="G14" i="1"/>
  <c r="I14" i="1" s="1"/>
  <c r="G15" i="1"/>
  <c r="G16" i="1"/>
  <c r="G19" i="1"/>
  <c r="G30" i="1" l="1"/>
  <c r="I30" i="1" s="1"/>
  <c r="G26" i="1"/>
  <c r="G13" i="1"/>
  <c r="I13" i="1" s="1"/>
  <c r="G12" i="1"/>
  <c r="J12" i="13" l="1"/>
  <c r="J13" i="13"/>
  <c r="J14" i="13"/>
  <c r="J15" i="13"/>
  <c r="J16" i="13"/>
  <c r="J17" i="13"/>
  <c r="J18" i="13"/>
  <c r="J19" i="13"/>
  <c r="J20" i="13"/>
  <c r="J21" i="13"/>
  <c r="J22" i="13"/>
  <c r="J23" i="13"/>
  <c r="J24" i="13"/>
  <c r="J25" i="13"/>
  <c r="J26" i="13"/>
  <c r="J27" i="13"/>
  <c r="J28" i="13"/>
  <c r="J29" i="13"/>
  <c r="J30" i="13"/>
  <c r="J31" i="13"/>
  <c r="J32" i="13"/>
  <c r="J33" i="13"/>
  <c r="J34" i="13"/>
  <c r="J11" i="13"/>
  <c r="F29" i="13"/>
  <c r="E29" i="13"/>
  <c r="F25" i="13"/>
  <c r="E25" i="13"/>
  <c r="F18" i="13"/>
  <c r="E18" i="13"/>
  <c r="F17" i="13"/>
  <c r="E17" i="13"/>
  <c r="F14" i="13"/>
  <c r="E14" i="13"/>
  <c r="F13" i="13"/>
  <c r="E13" i="13"/>
  <c r="F12" i="13"/>
  <c r="E12" i="13"/>
  <c r="E11" i="13" s="1"/>
  <c r="F11" i="13"/>
  <c r="E13" i="10" l="1"/>
  <c r="M14" i="10" l="1"/>
  <c r="K19" i="10"/>
  <c r="K18" i="10"/>
  <c r="G34" i="8" l="1"/>
  <c r="I34" i="8" s="1"/>
  <c r="E30" i="7" l="1"/>
  <c r="F16" i="6" l="1"/>
  <c r="F34" i="6"/>
  <c r="F33" i="6"/>
  <c r="F32" i="6"/>
  <c r="F31" i="6"/>
  <c r="F29" i="6"/>
  <c r="F28" i="6"/>
  <c r="F27" i="6"/>
  <c r="F25" i="6"/>
  <c r="F24" i="6"/>
  <c r="F23" i="6"/>
  <c r="F22" i="6"/>
  <c r="F34" i="5" l="1"/>
  <c r="F32" i="5"/>
  <c r="F31" i="5"/>
  <c r="F29" i="5"/>
  <c r="F28" i="5"/>
  <c r="F27" i="5"/>
  <c r="F25" i="5"/>
  <c r="F24" i="5"/>
  <c r="F23" i="5"/>
  <c r="F22" i="5"/>
  <c r="F16" i="5"/>
  <c r="H15" i="2" l="1"/>
  <c r="H13" i="2"/>
  <c r="H14" i="2"/>
  <c r="F19" i="1" l="1"/>
  <c r="F18" i="1"/>
  <c r="E30" i="11" l="1"/>
  <c r="L30" i="11" s="1"/>
  <c r="F26" i="12" l="1"/>
  <c r="E18" i="11"/>
  <c r="L18" i="11" s="1"/>
  <c r="E19" i="11"/>
  <c r="L19" i="11" s="1"/>
  <c r="L20" i="10" l="1"/>
  <c r="L21" i="10"/>
  <c r="L22" i="10"/>
  <c r="L23" i="10"/>
  <c r="L24" i="10"/>
  <c r="L25" i="10"/>
  <c r="K26" i="10"/>
  <c r="E30" i="6" l="1"/>
  <c r="H12" i="2" l="1"/>
  <c r="E30" i="2"/>
  <c r="E26" i="2"/>
  <c r="E18" i="2"/>
  <c r="E15" i="2"/>
  <c r="E14" i="2"/>
  <c r="E13" i="2"/>
  <c r="F30" i="2" l="1"/>
  <c r="F26" i="2"/>
  <c r="F19" i="2"/>
  <c r="F18" i="2"/>
  <c r="E12" i="2"/>
  <c r="J19" i="1" l="1"/>
  <c r="I34" i="1"/>
  <c r="G33" i="13"/>
  <c r="F15" i="1"/>
  <c r="F14" i="1"/>
  <c r="F13" i="1"/>
  <c r="F12" i="1" l="1"/>
  <c r="G29" i="13"/>
  <c r="G25" i="13"/>
  <c r="G18" i="13" l="1"/>
  <c r="G17" i="13"/>
  <c r="M12" i="13" l="1"/>
  <c r="F30" i="12"/>
  <c r="H19" i="12"/>
  <c r="H18" i="12"/>
  <c r="F15" i="12" l="1"/>
  <c r="H15" i="12"/>
  <c r="F14" i="12"/>
  <c r="H14" i="12"/>
  <c r="H13" i="12"/>
  <c r="E15" i="12"/>
  <c r="E14" i="12"/>
  <c r="E13" i="12"/>
  <c r="E15" i="11"/>
  <c r="L15" i="11" s="1"/>
  <c r="E14" i="11"/>
  <c r="L14" i="11" s="1"/>
  <c r="E13" i="11"/>
  <c r="L13" i="11" s="1"/>
  <c r="K30" i="10"/>
  <c r="H12" i="12" l="1"/>
  <c r="E12" i="12"/>
  <c r="E12" i="11"/>
  <c r="L12" i="11" s="1"/>
  <c r="E19" i="9"/>
  <c r="E18" i="7"/>
  <c r="E19" i="7"/>
  <c r="L19" i="7" s="1"/>
  <c r="G25" i="6"/>
  <c r="G34" i="6"/>
  <c r="G32" i="6"/>
  <c r="G33" i="6"/>
  <c r="G31" i="6"/>
  <c r="G28" i="6"/>
  <c r="G29" i="6"/>
  <c r="G27" i="6"/>
  <c r="G21" i="6"/>
  <c r="G22" i="6"/>
  <c r="G23" i="6"/>
  <c r="G24" i="6"/>
  <c r="G20" i="6"/>
  <c r="E18" i="12" l="1"/>
  <c r="E19" i="12"/>
  <c r="E26" i="12"/>
  <c r="E30" i="12"/>
  <c r="H15" i="9" l="1"/>
  <c r="H14" i="9"/>
  <c r="H13" i="9"/>
  <c r="E13" i="9"/>
  <c r="E14" i="9"/>
  <c r="E15" i="9"/>
  <c r="E18" i="9"/>
  <c r="E26" i="9"/>
  <c r="E30" i="9"/>
  <c r="E12" i="9" l="1"/>
  <c r="F16" i="3" l="1"/>
  <c r="H30" i="6" l="1"/>
  <c r="H26" i="6"/>
  <c r="H19" i="6"/>
  <c r="H18" i="6"/>
  <c r="H15" i="6"/>
  <c r="H14" i="6"/>
  <c r="H13" i="6"/>
  <c r="H12" i="6" l="1"/>
  <c r="H15" i="10" l="1"/>
  <c r="H14" i="10"/>
  <c r="H13" i="10"/>
  <c r="H12" i="10" l="1"/>
  <c r="H14" i="8"/>
  <c r="H13" i="8"/>
  <c r="H12" i="8"/>
  <c r="H11" i="8" l="1"/>
  <c r="E30" i="5"/>
  <c r="F15" i="4" l="1"/>
  <c r="H25" i="4"/>
  <c r="F16" i="11" l="1"/>
  <c r="G16" i="11" l="1"/>
  <c r="H26" i="3" l="1"/>
  <c r="G16" i="5" l="1"/>
  <c r="G15" i="4"/>
  <c r="G16" i="2" l="1"/>
  <c r="G15" i="12" l="1"/>
  <c r="I15" i="12" s="1"/>
  <c r="G14" i="12"/>
  <c r="I14" i="12" s="1"/>
  <c r="H13" i="11" l="1"/>
  <c r="G16" i="10" l="1"/>
  <c r="F16" i="9" l="1"/>
  <c r="G16" i="9" s="1"/>
  <c r="E29" i="8" l="1"/>
  <c r="E25" i="8"/>
  <c r="E14" i="8"/>
  <c r="E13" i="8"/>
  <c r="E12" i="8"/>
  <c r="E11" i="8" l="1"/>
  <c r="F15" i="8"/>
  <c r="F33" i="8" s="1"/>
  <c r="G15" i="8" l="1"/>
  <c r="G33" i="8" s="1"/>
  <c r="E17" i="8"/>
  <c r="L17" i="8" s="1"/>
  <c r="E18" i="8"/>
  <c r="L18" i="8" s="1"/>
  <c r="H14" i="3" l="1"/>
  <c r="H13" i="3"/>
  <c r="H15" i="3"/>
  <c r="H30" i="3"/>
  <c r="H18" i="3"/>
  <c r="H19" i="3"/>
  <c r="E30" i="3" l="1"/>
  <c r="E26" i="3"/>
  <c r="E19" i="3"/>
  <c r="E18" i="3"/>
  <c r="E15" i="3"/>
  <c r="E14" i="3"/>
  <c r="E13" i="3"/>
  <c r="E12" i="3" l="1"/>
  <c r="G16" i="3"/>
  <c r="E15" i="7"/>
  <c r="E14" i="7"/>
  <c r="E13" i="7"/>
  <c r="G16" i="6" l="1"/>
  <c r="G34" i="2" l="1"/>
  <c r="G32" i="2"/>
  <c r="G33" i="2"/>
  <c r="G31" i="2"/>
  <c r="G28" i="2"/>
  <c r="G29" i="2"/>
  <c r="G27" i="2"/>
  <c r="G21" i="2"/>
  <c r="G22" i="2"/>
  <c r="G23" i="2"/>
  <c r="G24" i="2"/>
  <c r="G25" i="2"/>
  <c r="G20" i="2"/>
  <c r="G30" i="2" l="1"/>
  <c r="G26" i="2"/>
  <c r="G19" i="2"/>
  <c r="G18" i="2"/>
  <c r="H33" i="13"/>
  <c r="H25" i="13" l="1"/>
  <c r="H18" i="13"/>
  <c r="H29" i="13"/>
  <c r="H11" i="13" l="1"/>
  <c r="G11" i="13"/>
  <c r="F34" i="11" l="1"/>
  <c r="G34" i="11" s="1"/>
  <c r="I34" i="11" s="1"/>
  <c r="F33" i="11"/>
  <c r="G33" i="11" s="1"/>
  <c r="F32" i="11"/>
  <c r="G32" i="11" s="1"/>
  <c r="F31" i="11"/>
  <c r="G31" i="11" s="1"/>
  <c r="H30" i="11"/>
  <c r="F29" i="11"/>
  <c r="G29" i="11" s="1"/>
  <c r="F28" i="11"/>
  <c r="G28" i="11" s="1"/>
  <c r="F27" i="11"/>
  <c r="G27" i="11" s="1"/>
  <c r="H26" i="11"/>
  <c r="F25" i="11"/>
  <c r="F24" i="11"/>
  <c r="F23" i="11"/>
  <c r="F22" i="11"/>
  <c r="F21" i="11"/>
  <c r="F20" i="11"/>
  <c r="H19" i="11"/>
  <c r="H18" i="11"/>
  <c r="H15" i="11"/>
  <c r="H14" i="11"/>
  <c r="H12" i="11" l="1"/>
  <c r="G22" i="11"/>
  <c r="G14" i="11" s="1"/>
  <c r="I14" i="11" s="1"/>
  <c r="G23" i="11"/>
  <c r="G21" i="11"/>
  <c r="G25" i="11"/>
  <c r="G20" i="11"/>
  <c r="G13" i="11" s="1"/>
  <c r="G24" i="11"/>
  <c r="G15" i="11" s="1"/>
  <c r="I15" i="11" s="1"/>
  <c r="F14" i="11"/>
  <c r="F30" i="11"/>
  <c r="F15" i="11"/>
  <c r="F13" i="11"/>
  <c r="F19" i="11"/>
  <c r="F18" i="11"/>
  <c r="G26" i="11"/>
  <c r="I26" i="11" s="1"/>
  <c r="J34" i="11"/>
  <c r="G30" i="11"/>
  <c r="I30" i="11" s="1"/>
  <c r="F26" i="11"/>
  <c r="I13" i="11" l="1"/>
  <c r="G18" i="11"/>
  <c r="I18" i="11" s="1"/>
  <c r="G19" i="11"/>
  <c r="F12" i="11"/>
  <c r="J30" i="11"/>
  <c r="G12" i="11"/>
  <c r="J26" i="11"/>
  <c r="J19" i="11" l="1"/>
  <c r="I19" i="11"/>
  <c r="J12" i="11"/>
  <c r="I12" i="11"/>
  <c r="E12" i="7" l="1"/>
  <c r="G20" i="4" l="1"/>
  <c r="G21" i="4"/>
  <c r="G22" i="4"/>
  <c r="G23" i="4"/>
  <c r="G24" i="4"/>
  <c r="G19" i="4"/>
  <c r="G33" i="4" l="1"/>
  <c r="I33" i="4" s="1"/>
  <c r="G32" i="4"/>
  <c r="G31" i="4"/>
  <c r="G30" i="4"/>
  <c r="H29" i="4"/>
  <c r="F29" i="4"/>
  <c r="E29" i="4"/>
  <c r="G28" i="4"/>
  <c r="G27" i="4"/>
  <c r="G26" i="4"/>
  <c r="F25" i="4"/>
  <c r="E25" i="4"/>
  <c r="G17" i="4"/>
  <c r="H18" i="4"/>
  <c r="F18" i="4"/>
  <c r="E18" i="4"/>
  <c r="H17" i="4"/>
  <c r="F17" i="4"/>
  <c r="E17" i="4"/>
  <c r="F14" i="4"/>
  <c r="E14" i="4"/>
  <c r="F13" i="4"/>
  <c r="E13" i="4"/>
  <c r="F12" i="4"/>
  <c r="E12" i="4"/>
  <c r="E11" i="4" l="1"/>
  <c r="I17" i="4"/>
  <c r="J33" i="4"/>
  <c r="G25" i="4"/>
  <c r="I25" i="4" s="1"/>
  <c r="G29" i="4"/>
  <c r="I29" i="4" s="1"/>
  <c r="G13" i="4"/>
  <c r="I13" i="4" s="1"/>
  <c r="G12" i="4"/>
  <c r="I12" i="4" s="1"/>
  <c r="H11" i="4"/>
  <c r="F11" i="4"/>
  <c r="G14" i="4"/>
  <c r="I14" i="4" s="1"/>
  <c r="G18" i="4"/>
  <c r="I18" i="4" s="1"/>
  <c r="J25" i="4" l="1"/>
  <c r="J18" i="4"/>
  <c r="J29" i="4"/>
  <c r="G11" i="4"/>
  <c r="J11" i="4" s="1"/>
  <c r="I11" i="4" l="1"/>
  <c r="G34" i="10" l="1"/>
  <c r="G32" i="10"/>
  <c r="G33" i="10"/>
  <c r="G31" i="10"/>
  <c r="G28" i="10"/>
  <c r="G29" i="10"/>
  <c r="G27" i="10"/>
  <c r="G21" i="10"/>
  <c r="G22" i="10"/>
  <c r="G23" i="10"/>
  <c r="G24" i="10"/>
  <c r="G25" i="10"/>
  <c r="G20" i="10"/>
  <c r="E30" i="10"/>
  <c r="E26" i="10"/>
  <c r="L26" i="10" s="1"/>
  <c r="E19" i="10"/>
  <c r="L19" i="10" s="1"/>
  <c r="E18" i="10"/>
  <c r="L18" i="10" s="1"/>
  <c r="E15" i="10"/>
  <c r="E14" i="10"/>
  <c r="F14" i="10" l="1"/>
  <c r="F26" i="10"/>
  <c r="F13" i="10"/>
  <c r="E12" i="10"/>
  <c r="M12" i="10" s="1"/>
  <c r="F19" i="12"/>
  <c r="G26" i="12"/>
  <c r="I34" i="12"/>
  <c r="J34" i="12"/>
  <c r="G19" i="12"/>
  <c r="G30" i="12"/>
  <c r="F30" i="10"/>
  <c r="F15" i="10"/>
  <c r="F19" i="10"/>
  <c r="F18" i="10"/>
  <c r="G19" i="10"/>
  <c r="I19" i="10" s="1"/>
  <c r="G26" i="10"/>
  <c r="G13" i="10"/>
  <c r="I13" i="10" s="1"/>
  <c r="I34" i="10"/>
  <c r="G14" i="10"/>
  <c r="I14" i="10" s="1"/>
  <c r="G18" i="10"/>
  <c r="I18" i="10" s="1"/>
  <c r="G15" i="10"/>
  <c r="I15" i="10" s="1"/>
  <c r="G30" i="10"/>
  <c r="G34" i="9"/>
  <c r="G33" i="9"/>
  <c r="G32" i="9"/>
  <c r="G31" i="9"/>
  <c r="G29" i="9"/>
  <c r="G28" i="9"/>
  <c r="G27" i="9"/>
  <c r="G25" i="9"/>
  <c r="G24" i="9"/>
  <c r="G23" i="9"/>
  <c r="G22" i="9"/>
  <c r="G21" i="9"/>
  <c r="F15" i="9"/>
  <c r="F13" i="9"/>
  <c r="F12" i="10" l="1"/>
  <c r="G19" i="9"/>
  <c r="J30" i="12"/>
  <c r="I30" i="12"/>
  <c r="I26" i="12"/>
  <c r="J26" i="12"/>
  <c r="I19" i="12"/>
  <c r="J19" i="12"/>
  <c r="I30" i="10"/>
  <c r="G12" i="10"/>
  <c r="I26" i="10"/>
  <c r="I34" i="9"/>
  <c r="F30" i="9"/>
  <c r="F26" i="9"/>
  <c r="F14" i="9"/>
  <c r="F19" i="9"/>
  <c r="F18" i="9"/>
  <c r="G18" i="9"/>
  <c r="I18" i="9" s="1"/>
  <c r="G13" i="9"/>
  <c r="G14" i="9"/>
  <c r="I14" i="9" s="1"/>
  <c r="G26" i="9"/>
  <c r="G15" i="9"/>
  <c r="I15" i="9" s="1"/>
  <c r="G30" i="9"/>
  <c r="J34" i="9"/>
  <c r="G31" i="8"/>
  <c r="G32" i="8"/>
  <c r="G30" i="8"/>
  <c r="G27" i="8"/>
  <c r="G28" i="8"/>
  <c r="G26" i="8"/>
  <c r="G12" i="9" l="1"/>
  <c r="I12" i="9" s="1"/>
  <c r="G24" i="8"/>
  <c r="G23" i="8"/>
  <c r="G22" i="8"/>
  <c r="F12" i="9"/>
  <c r="G20" i="8"/>
  <c r="F18" i="8"/>
  <c r="G19" i="8"/>
  <c r="G21" i="8"/>
  <c r="F14" i="8"/>
  <c r="F13" i="8"/>
  <c r="I12" i="10"/>
  <c r="J30" i="9"/>
  <c r="I30" i="9"/>
  <c r="I26" i="9"/>
  <c r="J26" i="9"/>
  <c r="I19" i="9"/>
  <c r="J19" i="9"/>
  <c r="F29" i="8"/>
  <c r="F12" i="8"/>
  <c r="F17" i="8"/>
  <c r="G25" i="8"/>
  <c r="G29" i="8"/>
  <c r="F25" i="8"/>
  <c r="G34" i="3"/>
  <c r="G33" i="3"/>
  <c r="G32" i="3"/>
  <c r="G31" i="3"/>
  <c r="G29" i="3"/>
  <c r="G28" i="3"/>
  <c r="G27" i="3"/>
  <c r="F26" i="3"/>
  <c r="G25" i="3"/>
  <c r="G24" i="3"/>
  <c r="G23" i="3"/>
  <c r="G22" i="3"/>
  <c r="G21" i="3"/>
  <c r="G20" i="3"/>
  <c r="F19" i="3"/>
  <c r="F15" i="3"/>
  <c r="E26" i="7"/>
  <c r="E26" i="6"/>
  <c r="E19" i="6"/>
  <c r="E18" i="6"/>
  <c r="E15" i="6"/>
  <c r="E14" i="6"/>
  <c r="E13" i="6"/>
  <c r="G34" i="5"/>
  <c r="G32" i="5"/>
  <c r="G33" i="5"/>
  <c r="G31" i="5"/>
  <c r="G28" i="5"/>
  <c r="G29" i="5"/>
  <c r="E26" i="5"/>
  <c r="G20" i="5"/>
  <c r="E15" i="5"/>
  <c r="E14" i="5"/>
  <c r="E13" i="5"/>
  <c r="I34" i="2"/>
  <c r="G15" i="2"/>
  <c r="I15" i="2" s="1"/>
  <c r="I19" i="2"/>
  <c r="I18" i="2"/>
  <c r="F15" i="2"/>
  <c r="F14" i="2"/>
  <c r="F13" i="2"/>
  <c r="J34" i="1"/>
  <c r="E30" i="1"/>
  <c r="E26" i="1"/>
  <c r="E19" i="1"/>
  <c r="E18" i="1"/>
  <c r="E16" i="1"/>
  <c r="E15" i="1"/>
  <c r="E14" i="1"/>
  <c r="E13" i="1"/>
  <c r="G13" i="2"/>
  <c r="I13" i="2" s="1"/>
  <c r="G14" i="2"/>
  <c r="I14" i="2" s="1"/>
  <c r="G12" i="2" l="1"/>
  <c r="F12" i="2"/>
  <c r="G12" i="8"/>
  <c r="I12" i="8" s="1"/>
  <c r="G14" i="8"/>
  <c r="I14" i="8" s="1"/>
  <c r="G13" i="8"/>
  <c r="I13" i="8" s="1"/>
  <c r="G18" i="8"/>
  <c r="I18" i="8" s="1"/>
  <c r="G17" i="8"/>
  <c r="I17" i="8" s="1"/>
  <c r="G25" i="5"/>
  <c r="G23" i="5"/>
  <c r="G22" i="5"/>
  <c r="G21" i="5"/>
  <c r="I34" i="7"/>
  <c r="F14" i="7"/>
  <c r="F14" i="6"/>
  <c r="F14" i="5"/>
  <c r="E12" i="1"/>
  <c r="F18" i="5"/>
  <c r="F13" i="5"/>
  <c r="F13" i="6"/>
  <c r="F15" i="7"/>
  <c r="E12" i="6"/>
  <c r="G26" i="6"/>
  <c r="I26" i="6" s="1"/>
  <c r="G27" i="5"/>
  <c r="G26" i="5" s="1"/>
  <c r="J26" i="5" s="1"/>
  <c r="F15" i="5"/>
  <c r="F13" i="7"/>
  <c r="F18" i="7"/>
  <c r="G15" i="6"/>
  <c r="I15" i="6" s="1"/>
  <c r="G14" i="6"/>
  <c r="I14" i="6" s="1"/>
  <c r="I34" i="6"/>
  <c r="J34" i="6"/>
  <c r="F30" i="6"/>
  <c r="I19" i="1"/>
  <c r="F11" i="8"/>
  <c r="J34" i="3"/>
  <c r="I34" i="3"/>
  <c r="G19" i="3"/>
  <c r="I19" i="3" s="1"/>
  <c r="F30" i="7"/>
  <c r="F26" i="7"/>
  <c r="F19" i="7"/>
  <c r="G30" i="6"/>
  <c r="I30" i="6" s="1"/>
  <c r="F26" i="6"/>
  <c r="F19" i="6"/>
  <c r="F15" i="6"/>
  <c r="F18" i="6"/>
  <c r="G24" i="5"/>
  <c r="J34" i="5"/>
  <c r="I34" i="5"/>
  <c r="G30" i="5"/>
  <c r="J30" i="5" s="1"/>
  <c r="F30" i="5"/>
  <c r="F26" i="5"/>
  <c r="E12" i="5"/>
  <c r="F19" i="5"/>
  <c r="J34" i="2"/>
  <c r="J30" i="2"/>
  <c r="I26" i="2"/>
  <c r="I18" i="1"/>
  <c r="J26" i="1"/>
  <c r="J12" i="9"/>
  <c r="J29" i="8"/>
  <c r="I29" i="8"/>
  <c r="I25" i="8"/>
  <c r="J25" i="8"/>
  <c r="F14" i="3"/>
  <c r="F30" i="3"/>
  <c r="G15" i="3"/>
  <c r="I15" i="3" s="1"/>
  <c r="G14" i="3"/>
  <c r="I14" i="3" s="1"/>
  <c r="G26" i="3"/>
  <c r="F13" i="3"/>
  <c r="F18" i="3"/>
  <c r="G18" i="3"/>
  <c r="I18" i="3" s="1"/>
  <c r="G13" i="3"/>
  <c r="I13" i="3" s="1"/>
  <c r="G30" i="3"/>
  <c r="J19" i="2"/>
  <c r="F12" i="7" l="1"/>
  <c r="G13" i="5"/>
  <c r="I13" i="5" s="1"/>
  <c r="F12" i="3"/>
  <c r="G14" i="5"/>
  <c r="I14" i="5" s="1"/>
  <c r="J30" i="1"/>
  <c r="G11" i="8"/>
  <c r="J11" i="8" s="1"/>
  <c r="G13" i="6"/>
  <c r="J18" i="8"/>
  <c r="J34" i="7"/>
  <c r="I30" i="7"/>
  <c r="I14" i="7"/>
  <c r="G19" i="6"/>
  <c r="I19" i="6" s="1"/>
  <c r="G12" i="3"/>
  <c r="G19" i="5"/>
  <c r="I19" i="5" s="1"/>
  <c r="G18" i="5"/>
  <c r="I18" i="5" s="1"/>
  <c r="I15" i="7"/>
  <c r="G18" i="6"/>
  <c r="I18" i="6" s="1"/>
  <c r="J26" i="2"/>
  <c r="G15" i="5"/>
  <c r="F12" i="5"/>
  <c r="I12" i="1"/>
  <c r="I26" i="5"/>
  <c r="I30" i="2"/>
  <c r="F12" i="6"/>
  <c r="J30" i="6"/>
  <c r="J30" i="3"/>
  <c r="I30" i="3"/>
  <c r="J26" i="3"/>
  <c r="I26" i="3"/>
  <c r="J19" i="3"/>
  <c r="J26" i="6"/>
  <c r="I30" i="5"/>
  <c r="I12" i="2"/>
  <c r="J12" i="2"/>
  <c r="I26" i="1"/>
  <c r="I13" i="7" l="1"/>
  <c r="J12" i="7"/>
  <c r="I26" i="7"/>
  <c r="I19" i="7"/>
  <c r="I18" i="7"/>
  <c r="G12" i="6"/>
  <c r="I12" i="6" s="1"/>
  <c r="I13" i="6"/>
  <c r="J26" i="7"/>
  <c r="J19" i="6"/>
  <c r="I11" i="8"/>
  <c r="I12" i="7"/>
  <c r="J19" i="7"/>
  <c r="J30" i="7"/>
  <c r="J19" i="5"/>
  <c r="G12" i="5"/>
  <c r="J12" i="5" s="1"/>
  <c r="I15" i="5"/>
  <c r="J12" i="1"/>
  <c r="J12" i="3"/>
  <c r="J12" i="6" l="1"/>
  <c r="I12" i="5"/>
  <c r="F13" i="12" l="1"/>
  <c r="F18" i="12"/>
  <c r="F12" i="12" l="1"/>
  <c r="G13" i="12"/>
  <c r="I13" i="12" s="1"/>
  <c r="G18" i="12"/>
  <c r="I18" i="12" s="1"/>
  <c r="G12" i="12" l="1"/>
  <c r="J12" i="12" l="1"/>
  <c r="I12" i="12"/>
</calcChain>
</file>

<file path=xl/sharedStrings.xml><?xml version="1.0" encoding="utf-8"?>
<sst xmlns="http://schemas.openxmlformats.org/spreadsheetml/2006/main" count="874" uniqueCount="112">
  <si>
    <t>Biểu số 07-T</t>
  </si>
  <si>
    <r>
      <rPr>
        <u/>
        <sz val="11"/>
        <color indexed="8"/>
        <rFont val="Times New Roman"/>
        <family val="1"/>
      </rPr>
      <t>Đơn vị báo cáo:</t>
    </r>
    <r>
      <rPr>
        <sz val="11"/>
        <color indexed="8"/>
        <rFont val="Times New Roman"/>
        <family val="1"/>
      </rPr>
      <t xml:space="preserve"> Cục Hàng hải Việt Nam</t>
    </r>
  </si>
  <si>
    <r>
      <rPr>
        <u/>
        <sz val="11"/>
        <color indexed="8"/>
        <rFont val="Times New Roman"/>
        <family val="1"/>
      </rPr>
      <t>Đơn vị nhận báo cáo:</t>
    </r>
    <r>
      <rPr>
        <sz val="11"/>
        <color indexed="8"/>
        <rFont val="Times New Roman"/>
        <family val="1"/>
      </rPr>
      <t xml:space="preserve"> Bộ GTVT (Vụ VT)</t>
    </r>
  </si>
  <si>
    <t>THỐNG KÊ KHỐI LƯỢNG HÀNG HÓA THÔNG QUA CẢNG BIỂN</t>
  </si>
  <si>
    <t>TT</t>
  </si>
  <si>
    <t>Danh mục loại hàng</t>
  </si>
  <si>
    <t>Đơn vị tính</t>
  </si>
  <si>
    <t>Kế hoạch năm</t>
  </si>
  <si>
    <t>Khối lượng hàng hóa thông qua cảng</t>
  </si>
  <si>
    <t>Từ đầu năm đến hết tháng trước</t>
  </si>
  <si>
    <t>Ước thực hiện tháng báo cáo</t>
  </si>
  <si>
    <t>Lũy kế từ đầu năm đến hết tháng báo cáo</t>
  </si>
  <si>
    <t>Lũy kế cùng kỳ năm trước</t>
  </si>
  <si>
    <t>So sánh cùng kỳ năm trước (%)</t>
  </si>
  <si>
    <t>So sánh với kế hoạch năm (%)</t>
  </si>
  <si>
    <t>A</t>
  </si>
  <si>
    <t>B</t>
  </si>
  <si>
    <t>C</t>
  </si>
  <si>
    <t>6=4/5</t>
  </si>
  <si>
    <t>7=4/1</t>
  </si>
  <si>
    <t>Tổng số</t>
  </si>
  <si>
    <t>1000 tấn</t>
  </si>
  <si>
    <t>Hàng xuất khẩu</t>
  </si>
  <si>
    <t>Hàng nhập khẩu</t>
  </si>
  <si>
    <t>Hàng nội địa</t>
  </si>
  <si>
    <t>Hàng quá cảnh</t>
  </si>
  <si>
    <t>Chia ra</t>
  </si>
  <si>
    <t>Container</t>
  </si>
  <si>
    <t>1000 Teus</t>
  </si>
  <si>
    <t>Xuất khẩu</t>
  </si>
  <si>
    <t>1000 Tấn</t>
  </si>
  <si>
    <t>Nhâp khẩu</t>
  </si>
  <si>
    <t>Nội địa</t>
  </si>
  <si>
    <t>Hàng lỏng</t>
  </si>
  <si>
    <t>Nhập khẩu</t>
  </si>
  <si>
    <t>Hàng khô</t>
  </si>
  <si>
    <t>Phụ lục 1</t>
  </si>
  <si>
    <t>Phụ lục I</t>
  </si>
  <si>
    <t xml:space="preserve">Ghi chú: Hàng hóa thông qua cảng đã bao gồm cả hàng hóa quá cảnh không được bốc dỡ tại cảng </t>
  </si>
  <si>
    <t>PHỤ LỤC I</t>
  </si>
  <si>
    <t>Biểu số 08-N</t>
  </si>
  <si>
    <t>Thực hiện năm báo cáo</t>
  </si>
  <si>
    <t>Thực hiện năm trước</t>
  </si>
  <si>
    <t>Hàng quá cảnh bốc dỡ</t>
  </si>
  <si>
    <t xml:space="preserve">Ghi chú: Hàng hóa thông qua cảng không bao gồm cả hàng hóa quá cảnh không được bốc dỡ tại cảng </t>
  </si>
  <si>
    <t>PHỤ LỤC III</t>
  </si>
  <si>
    <t>Biểu số 28-T</t>
  </si>
  <si>
    <t xml:space="preserve">Ghi chú: Hàng hóa thông qua cảng bao gồm cả hàng hóa quá cảnh không được bốc dỡ tại cảng </t>
  </si>
  <si>
    <t xml:space="preserve">Ghi chú: Hàng hóa thông qua cảng không bao gồm cả hàng hóa quá cảnh không được bốc dỡ tại cảng
</t>
  </si>
  <si>
    <t>Ghi chú: Hàng hóa thông qua cảng không bao gồm cả hàng quá cảnh không bốc dỡ và Khối lượng hàng hóa thông qua cảng được tính theo tiêu chí mới</t>
  </si>
  <si>
    <t xml:space="preserve">Ghi chú: Hàng hóa thông qua cảng đã bao gồm cả hàng hóa quá cảnh không được bốc dỡ 
và Thông kê theo tiêu chí mới </t>
  </si>
  <si>
    <r>
      <rPr>
        <i/>
        <sz val="11"/>
        <rFont val="Times New Roman"/>
        <family val="1"/>
      </rPr>
      <t xml:space="preserve">Ghi chú: Hàng hóa thông qua cảng không bao gồm cả hàng hóa quá cảnh không được bốc dỡ tại cảng và Áp dụng tiêu chí thống kê mới cho hàng thông qua cảng biển từ năm 2018 </t>
    </r>
    <r>
      <rPr>
        <b/>
        <i/>
        <sz val="11"/>
        <rFont val="Times New Roman"/>
        <family val="1"/>
      </rPr>
      <t xml:space="preserve">
</t>
    </r>
  </si>
  <si>
    <t xml:space="preserve">                                -   </t>
  </si>
  <si>
    <t>Hàng quá cảnh không bốc dỡ</t>
  </si>
  <si>
    <t>Năm 2024</t>
  </si>
  <si>
    <t>Ngày báo cáo: 15/03/2025</t>
  </si>
  <si>
    <t>4=2/3</t>
  </si>
  <si>
    <t>5=3/1</t>
  </si>
  <si>
    <t>Ngày báo cáo: 15/01/2025</t>
  </si>
  <si>
    <t>Tháng 1/2025</t>
  </si>
  <si>
    <t>Ngày báo cáo: 15/2/2025</t>
  </si>
  <si>
    <t>Tháng 2/2025</t>
  </si>
  <si>
    <t>Ngày báo cáo: 15/3/2025</t>
  </si>
  <si>
    <t>Tháng 3/2025</t>
  </si>
  <si>
    <r>
      <rPr>
        <u/>
        <sz val="11"/>
        <rFont val="Times New Roman"/>
        <family val="1"/>
      </rPr>
      <t>Đơn vị báo cáo:</t>
    </r>
    <r>
      <rPr>
        <sz val="11"/>
        <rFont val="Times New Roman"/>
        <family val="1"/>
      </rPr>
      <t xml:space="preserve"> Cục Hàng hải và Đường thủy Việt Nam</t>
    </r>
  </si>
  <si>
    <r>
      <rPr>
        <u/>
        <sz val="11"/>
        <rFont val="Times New Roman"/>
        <family val="1"/>
      </rPr>
      <t>Đơn vị nhận báo cáo:</t>
    </r>
    <r>
      <rPr>
        <sz val="11"/>
        <rFont val="Times New Roman"/>
        <family val="1"/>
      </rPr>
      <t xml:space="preserve"> Bộ Xây dựng</t>
    </r>
  </si>
  <si>
    <t>THỐNG KÊ KHỐI LƯỢNG HÀNG HÓA THÔNG QUA CẢNG BIỂN VÀ CẢNG THỦY NỘI ĐỊA</t>
  </si>
  <si>
    <t>Ngày báo cáo: 15/4/2025</t>
  </si>
  <si>
    <t>Tháng 4/2025</t>
  </si>
  <si>
    <r>
      <rPr>
        <u/>
        <sz val="11"/>
        <color indexed="8"/>
        <rFont val="Times New Roman"/>
        <family val="1"/>
      </rPr>
      <t>Đơn vị báo cáo:</t>
    </r>
    <r>
      <rPr>
        <sz val="11"/>
        <color indexed="8"/>
        <rFont val="Times New Roman"/>
        <family val="1"/>
      </rPr>
      <t xml:space="preserve"> Cục Hàng hải và Đường thủy Việt Nam</t>
    </r>
  </si>
  <si>
    <r>
      <rPr>
        <u/>
        <sz val="11"/>
        <color indexed="8"/>
        <rFont val="Times New Roman"/>
        <family val="1"/>
      </rPr>
      <t>Đơn vị nhận báo cáo:</t>
    </r>
    <r>
      <rPr>
        <sz val="11"/>
        <color indexed="8"/>
        <rFont val="Times New Roman"/>
        <family val="1"/>
      </rPr>
      <t xml:space="preserve"> Bộ Xây dựng (Vụ VT)</t>
    </r>
  </si>
  <si>
    <t>Ngày báo cáo: 15/5/2025</t>
  </si>
  <si>
    <t>Tháng 5/2025</t>
  </si>
  <si>
    <r>
      <rPr>
        <u/>
        <sz val="12"/>
        <rFont val="Times New Roman"/>
        <family val="1"/>
      </rPr>
      <t>Đơn vị báo cáo:</t>
    </r>
    <r>
      <rPr>
        <sz val="12"/>
        <rFont val="Times New Roman"/>
        <family val="1"/>
      </rPr>
      <t xml:space="preserve"> Cục HH&amp;ĐT Việt Nam</t>
    </r>
  </si>
  <si>
    <r>
      <rPr>
        <u/>
        <sz val="12"/>
        <rFont val="Times New Roman"/>
        <family val="1"/>
      </rPr>
      <t>Đơn vị nhận báo cáo:</t>
    </r>
    <r>
      <rPr>
        <sz val="12"/>
        <rFont val="Times New Roman"/>
        <family val="1"/>
      </rPr>
      <t xml:space="preserve"> Bộ Xây dựng</t>
    </r>
  </si>
  <si>
    <t>Ngày báo cáo: 15/6/2025</t>
  </si>
  <si>
    <t>Tháng 6/2025</t>
  </si>
  <si>
    <t>Tháng 7/2025</t>
  </si>
  <si>
    <t>Ngày báo cáo: 15/7/2025</t>
  </si>
  <si>
    <t>Tháng 8/2025</t>
  </si>
  <si>
    <t>Ngày báo cáo: 15/8/2025</t>
  </si>
  <si>
    <t>Tháng 9/2025</t>
  </si>
  <si>
    <t>Ngày báo cáo: 15/9/2025</t>
  </si>
  <si>
    <r>
      <rPr>
        <u/>
        <sz val="11"/>
        <rFont val="Times New Roman"/>
        <family val="1"/>
      </rPr>
      <t>Đơn vị báo cáo:</t>
    </r>
    <r>
      <rPr>
        <sz val="11"/>
        <rFont val="Times New Roman"/>
        <family val="1"/>
      </rPr>
      <t xml:space="preserve"> Cục HH&amp;ĐT Việt Nam</t>
    </r>
  </si>
  <si>
    <r>
      <rPr>
        <u/>
        <sz val="11"/>
        <rFont val="Times New Roman"/>
        <family val="1"/>
      </rPr>
      <t>Đơn vị nhận báo cáo:</t>
    </r>
    <r>
      <rPr>
        <sz val="11"/>
        <rFont val="Times New Roman"/>
        <family val="1"/>
      </rPr>
      <t xml:space="preserve"> Bộ Xây dưng</t>
    </r>
  </si>
  <si>
    <t>Tháng 10/2025</t>
  </si>
  <si>
    <t>Ngày báo cáo: 15/10/2025</t>
  </si>
  <si>
    <t>Tháng 11/2025</t>
  </si>
  <si>
    <t>Ngày báo cáo: 15/11/2025</t>
  </si>
  <si>
    <t>Ngày báo cáo: 15/12/2025</t>
  </si>
  <si>
    <t>Tháng 12/2025</t>
  </si>
  <si>
    <t>Tổng thu</t>
  </si>
  <si>
    <t>Tổng chi</t>
  </si>
  <si>
    <t>Nga</t>
  </si>
  <si>
    <t>Tuyết</t>
  </si>
  <si>
    <t>Thương</t>
  </si>
  <si>
    <t>Hồng Cương</t>
  </si>
  <si>
    <t>Nam</t>
  </si>
  <si>
    <t>Huy</t>
  </si>
  <si>
    <t>Mạnh</t>
  </si>
  <si>
    <t>A Hà</t>
  </si>
  <si>
    <t>C Thủy</t>
  </si>
  <si>
    <t>C Oanh</t>
  </si>
  <si>
    <t>E Hà</t>
  </si>
  <si>
    <t>A Mạnh</t>
  </si>
  <si>
    <t>A Giang</t>
  </si>
  <si>
    <t>A Thắng</t>
  </si>
  <si>
    <t>A Hải IMO</t>
  </si>
  <si>
    <t>A Tony</t>
  </si>
  <si>
    <t>A Tân</t>
  </si>
  <si>
    <t>Tuấn</t>
  </si>
  <si>
    <t>A Hải 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</si>
</sst>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3" x14ac:knownFonts="1">
    <font>
      <sz val="11"/>
      <color theme="1"/>
      <name val="Calibri"/>
      <family val="2"/>
      <scheme val="minor"/>
    </font>
    <font>
      <sz val="11"/>
      <color indexed="8"/>
      <name val="Times New Roman"/>
      <family val="1"/>
    </font>
    <font>
      <u/>
      <sz val="11"/>
      <color indexed="8"/>
      <name val="Times New Roman"/>
      <family val="1"/>
    </font>
    <font>
      <sz val="11"/>
      <color indexed="8"/>
      <name val="Calibri"/>
      <family val="2"/>
    </font>
    <font>
      <b/>
      <sz val="11"/>
      <color indexed="8"/>
      <name val="Calibri"/>
      <family val="2"/>
    </font>
    <font>
      <sz val="11"/>
      <color indexed="8"/>
      <name val="Times New Roman"/>
      <family val="1"/>
    </font>
    <font>
      <b/>
      <sz val="13"/>
      <color indexed="8"/>
      <name val="Times New Roman"/>
      <family val="1"/>
    </font>
    <font>
      <b/>
      <sz val="11"/>
      <color indexed="8"/>
      <name val="Times New Roman"/>
      <family val="1"/>
    </font>
    <font>
      <b/>
      <i/>
      <u/>
      <sz val="11"/>
      <color indexed="8"/>
      <name val="Times New Roman"/>
      <family val="1"/>
    </font>
    <font>
      <b/>
      <i/>
      <u/>
      <sz val="11"/>
      <color indexed="8"/>
      <name val="Calibri"/>
      <family val="2"/>
    </font>
    <font>
      <b/>
      <sz val="12"/>
      <color indexed="8"/>
      <name val="Times New Roman"/>
      <family val="1"/>
    </font>
    <font>
      <b/>
      <i/>
      <sz val="12"/>
      <color indexed="8"/>
      <name val="Times New Roman"/>
      <family val="1"/>
    </font>
    <font>
      <sz val="8"/>
      <name val="Calibri"/>
      <family val="2"/>
    </font>
    <font>
      <b/>
      <sz val="14"/>
      <color theme="1"/>
      <name val="Times New Roman"/>
      <family val="1"/>
    </font>
    <font>
      <b/>
      <u/>
      <sz val="11"/>
      <color theme="1"/>
      <name val="Calibri"/>
      <family val="2"/>
      <scheme val="minor"/>
    </font>
    <font>
      <sz val="12"/>
      <color theme="1"/>
      <name val="Calibri"/>
      <family val="2"/>
      <scheme val="minor"/>
    </font>
    <font>
      <b/>
      <i/>
      <u/>
      <sz val="12"/>
      <color indexed="8"/>
      <name val="Calibri"/>
      <family val="2"/>
    </font>
    <font>
      <i/>
      <sz val="12"/>
      <color indexed="8"/>
      <name val="Times New Roman"/>
      <family val="1"/>
    </font>
    <font>
      <b/>
      <u/>
      <sz val="11"/>
      <color indexed="8"/>
      <name val="Times New Roman"/>
      <family val="1"/>
    </font>
    <font>
      <b/>
      <i/>
      <sz val="11"/>
      <color indexed="8"/>
      <name val="Times New Roman"/>
      <family val="1"/>
    </font>
    <font>
      <b/>
      <sz val="14"/>
      <name val="Times New Roman"/>
      <family val="1"/>
    </font>
    <font>
      <sz val="11"/>
      <name val="Calibri"/>
      <family val="2"/>
      <scheme val="minor"/>
    </font>
    <font>
      <sz val="11"/>
      <name val="Times New Roman"/>
      <family val="1"/>
    </font>
    <font>
      <u/>
      <sz val="11"/>
      <name val="Times New Roman"/>
      <family val="1"/>
    </font>
    <font>
      <b/>
      <sz val="13"/>
      <name val="Times New Roman"/>
      <family val="1"/>
    </font>
    <font>
      <b/>
      <sz val="11"/>
      <name val="Times New Roman"/>
      <family val="1"/>
    </font>
    <font>
      <b/>
      <sz val="11"/>
      <name val="Calibri"/>
      <family val="2"/>
    </font>
    <font>
      <b/>
      <sz val="12"/>
      <name val="Times New Roman"/>
      <family val="1"/>
    </font>
    <font>
      <sz val="12"/>
      <name val="Times New Roman"/>
      <family val="1"/>
    </font>
    <font>
      <b/>
      <i/>
      <u/>
      <sz val="11"/>
      <name val="Times New Roman"/>
      <family val="1"/>
    </font>
    <font>
      <b/>
      <i/>
      <u/>
      <sz val="12"/>
      <name val="Times New Roman"/>
      <family val="1"/>
    </font>
    <font>
      <b/>
      <i/>
      <u/>
      <sz val="11"/>
      <name val="Calibri"/>
      <family val="2"/>
    </font>
    <font>
      <b/>
      <i/>
      <sz val="12"/>
      <name val="Times New Roman"/>
      <family val="1"/>
    </font>
    <font>
      <i/>
      <sz val="12"/>
      <name val="Times New Roman"/>
      <family val="1"/>
    </font>
    <font>
      <sz val="11"/>
      <color theme="1"/>
      <name val="Calibri"/>
      <family val="2"/>
      <scheme val="minor"/>
    </font>
    <font>
      <sz val="14"/>
      <name val="Times New Roman"/>
      <family val="1"/>
    </font>
    <font>
      <b/>
      <sz val="11"/>
      <name val="Calibri"/>
      <family val="2"/>
      <scheme val="minor"/>
    </font>
    <font>
      <b/>
      <i/>
      <sz val="11"/>
      <name val="Times New Roman"/>
      <family val="1"/>
    </font>
    <font>
      <i/>
      <sz val="11"/>
      <name val="Times New Roman"/>
      <family val="1"/>
    </font>
    <font>
      <b/>
      <i/>
      <u/>
      <sz val="11"/>
      <color theme="1"/>
      <name val="Times New Roman"/>
      <family val="1"/>
    </font>
    <font>
      <b/>
      <sz val="11"/>
      <color rgb="FF000000"/>
      <name val="Times New Roman"/>
      <family val="1"/>
    </font>
    <font>
      <sz val="11"/>
      <color theme="1"/>
      <name val="Times New Roman"/>
      <family val="1"/>
    </font>
    <font>
      <b/>
      <i/>
      <u/>
      <sz val="11"/>
      <name val="Calibri"/>
      <family val="2"/>
      <scheme val="minor"/>
    </font>
    <font>
      <b/>
      <i/>
      <u/>
      <sz val="11"/>
      <color rgb="FF000000"/>
      <name val="Times New Roman"/>
      <family val="1"/>
    </font>
    <font>
      <sz val="11"/>
      <color rgb="FFFF0000"/>
      <name val="Calibri"/>
      <family val="2"/>
      <scheme val="minor"/>
    </font>
    <font>
      <b/>
      <i/>
      <u/>
      <sz val="11"/>
      <color rgb="FFFF0000"/>
      <name val="Times New Roman"/>
      <family val="1"/>
    </font>
    <font>
      <sz val="12"/>
      <name val="Calibri"/>
      <family val="2"/>
      <scheme val="minor"/>
    </font>
    <font>
      <u/>
      <sz val="12"/>
      <name val="Times New Roman"/>
      <family val="1"/>
    </font>
    <font>
      <b/>
      <sz val="12"/>
      <name val="Calibri"/>
      <family val="2"/>
    </font>
    <font>
      <b/>
      <i/>
      <u/>
      <sz val="12"/>
      <name val="Calibri"/>
      <family val="2"/>
    </font>
    <font>
      <b/>
      <u/>
      <sz val="11"/>
      <name val="Times New Roman"/>
      <family val="1"/>
    </font>
    <font>
      <b/>
      <sz val="11"/>
      <color rgb="FFFF0000"/>
      <name val="Times New Roman"/>
      <family val="1"/>
    </font>
    <font>
      <b/>
      <i/>
      <u/>
      <sz val="11"/>
      <color rgb="FFFF0000"/>
      <name val="Calibri"/>
      <family val="2"/>
    </font>
    <font>
      <sz val="12"/>
      <color rgb="FFC00000"/>
      <name val="Times New Roman"/>
      <family val="1"/>
    </font>
    <font>
      <sz val="12"/>
      <color rgb="FFC00000"/>
      <name val="Calibri"/>
      <family val="2"/>
    </font>
    <font>
      <sz val="12"/>
      <color rgb="FFC00000"/>
      <name val="Calibri"/>
      <family val="2"/>
      <scheme val="minor"/>
    </font>
    <font>
      <b/>
      <i/>
      <u/>
      <sz val="12"/>
      <color rgb="FFFF0000"/>
      <name val="Times New Roman"/>
      <family val="1"/>
    </font>
    <font>
      <b/>
      <u/>
      <sz val="11"/>
      <color rgb="FFFF0000"/>
      <name val="Times New Roman"/>
      <family val="1"/>
    </font>
    <font>
      <b/>
      <sz val="11"/>
      <color rgb="FFFF0000"/>
      <name val="Calibri"/>
      <family val="2"/>
    </font>
    <font>
      <b/>
      <sz val="12"/>
      <color rgb="FFFF0000"/>
      <name val="Times New Roman"/>
      <family val="1"/>
    </font>
    <font>
      <b/>
      <sz val="12"/>
      <color rgb="FFFF0000"/>
      <name val="Calibri"/>
      <family val="2"/>
    </font>
    <font>
      <b/>
      <i/>
      <sz val="11"/>
      <color rgb="FF000000"/>
      <name val="Times New Roman"/>
      <family val="1"/>
    </font>
    <font>
      <sz val="11"/>
      <color rgb="FF000000"/>
      <name val="Times New Roman"/>
      <family val="1"/>
    </font>
    <font>
      <sz val="11"/>
      <color rgb="FF000000"/>
      <name val="Calibri"/>
      <family val="2"/>
    </font>
    <font>
      <sz val="12"/>
      <color theme="1"/>
      <name val="Times New Roman"/>
      <family val="1"/>
    </font>
    <font>
      <b/>
      <i/>
      <u/>
      <sz val="12"/>
      <color indexed="8"/>
      <name val="Times New Roman"/>
      <family val="1"/>
    </font>
    <font>
      <b/>
      <u/>
      <sz val="12"/>
      <name val="Times New Roman"/>
      <family val="1"/>
    </font>
    <font>
      <b/>
      <sz val="11"/>
      <color theme="1"/>
      <name val="Calibri"/>
      <family val="2"/>
    </font>
    <font>
      <i/>
      <sz val="12"/>
      <name val="Calibri"/>
      <family val="2"/>
      <scheme val="minor"/>
    </font>
    <font>
      <b/>
      <sz val="12"/>
      <name val="Calibri"/>
      <family val="2"/>
      <scheme val="minor"/>
    </font>
    <font>
      <b/>
      <sz val="11"/>
      <color theme="1"/>
      <name val="Times New Roman"/>
      <family val="1"/>
    </font>
    <font>
      <sz val="11"/>
      <color theme="1"/>
      <name val="Calibri"/>
      <family val="2"/>
    </font>
    <font>
      <u/>
      <sz val="11"/>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9" fontId="3" fillId="0" borderId="0" applyFont="0" applyFill="0" applyBorder="0" applyAlignment="0" applyProtection="0"/>
    <xf numFmtId="43" fontId="34" fillId="0" borderId="0" applyFont="0" applyFill="0" applyBorder="0" applyAlignment="0" applyProtection="0"/>
  </cellStyleXfs>
  <cellXfs count="271">
    <xf numFmtId="0" fontId="0" fillId="0" borderId="0" xfId="0"/>
    <xf numFmtId="0" fontId="5" fillId="0" borderId="0" xfId="0" applyFont="1"/>
    <xf numFmtId="0" fontId="5" fillId="0" borderId="0" xfId="0" applyFont="1" applyAlignment="1">
      <alignment horizontal="center"/>
    </xf>
    <xf numFmtId="3" fontId="5" fillId="0" borderId="0" xfId="0" applyNumberFormat="1" applyFont="1"/>
    <xf numFmtId="3" fontId="0" fillId="0" borderId="0" xfId="0" applyNumberFormat="1"/>
    <xf numFmtId="0" fontId="0" fillId="0" borderId="0" xfId="0" applyAlignment="1">
      <alignment horizontal="center" wrapText="1"/>
    </xf>
    <xf numFmtId="3" fontId="0" fillId="0" borderId="0" xfId="0" applyNumberFormat="1" applyAlignment="1">
      <alignment horizont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3" fontId="7" fillId="0" borderId="1" xfId="0" applyNumberFormat="1" applyFont="1" applyBorder="1" applyAlignment="1">
      <alignment vertical="center"/>
    </xf>
    <xf numFmtId="9" fontId="7" fillId="0" borderId="1" xfId="1" applyFont="1" applyBorder="1" applyAlignment="1">
      <alignment vertical="center"/>
    </xf>
    <xf numFmtId="0" fontId="4" fillId="0" borderId="0" xfId="0" applyFont="1"/>
    <xf numFmtId="3" fontId="4" fillId="0" borderId="0" xfId="0" applyNumberFormat="1" applyFont="1"/>
    <xf numFmtId="0" fontId="5" fillId="0" borderId="1" xfId="0" applyFont="1" applyBorder="1" applyAlignment="1">
      <alignment vertical="center"/>
    </xf>
    <xf numFmtId="0" fontId="5" fillId="0" borderId="1" xfId="0" applyFont="1" applyBorder="1" applyAlignment="1">
      <alignment horizontal="center" vertical="center"/>
    </xf>
    <xf numFmtId="3" fontId="5" fillId="0" borderId="1" xfId="0" applyNumberFormat="1" applyFont="1" applyBorder="1" applyAlignment="1">
      <alignment vertical="center"/>
    </xf>
    <xf numFmtId="9" fontId="5" fillId="0" borderId="1" xfId="1" applyFont="1" applyBorder="1" applyAlignment="1">
      <alignment vertical="center"/>
    </xf>
    <xf numFmtId="3" fontId="5" fillId="0" borderId="0" xfId="0" applyNumberFormat="1" applyFont="1" applyAlignment="1">
      <alignment vertical="center"/>
    </xf>
    <xf numFmtId="0" fontId="8" fillId="0" borderId="1" xfId="0" applyFont="1" applyBorder="1" applyAlignment="1">
      <alignment vertical="center"/>
    </xf>
    <xf numFmtId="0" fontId="8" fillId="0" borderId="1" xfId="0" applyFont="1" applyBorder="1" applyAlignment="1">
      <alignment horizontal="center" vertical="center"/>
    </xf>
    <xf numFmtId="3" fontId="8" fillId="0" borderId="1" xfId="0" applyNumberFormat="1" applyFont="1" applyBorder="1" applyAlignment="1">
      <alignment vertical="center"/>
    </xf>
    <xf numFmtId="9" fontId="8" fillId="0" borderId="1" xfId="1" applyFont="1" applyBorder="1" applyAlignment="1">
      <alignment vertical="center"/>
    </xf>
    <xf numFmtId="0" fontId="9" fillId="0" borderId="0" xfId="0" applyFont="1"/>
    <xf numFmtId="3" fontId="8" fillId="0" borderId="0" xfId="0" applyNumberFormat="1" applyFont="1" applyAlignment="1">
      <alignment vertical="center"/>
    </xf>
    <xf numFmtId="3" fontId="9" fillId="0" borderId="0" xfId="0" applyNumberFormat="1" applyFont="1"/>
    <xf numFmtId="3" fontId="0" fillId="0" borderId="1" xfId="0" applyNumberFormat="1" applyBorder="1"/>
    <xf numFmtId="3" fontId="9" fillId="0" borderId="1" xfId="0" applyNumberFormat="1" applyFont="1" applyBorder="1"/>
    <xf numFmtId="4" fontId="5" fillId="0" borderId="1" xfId="0" applyNumberFormat="1" applyFont="1" applyBorder="1" applyAlignment="1">
      <alignment vertical="center"/>
    </xf>
    <xf numFmtId="0" fontId="0" fillId="0" borderId="0" xfId="0" applyAlignment="1">
      <alignment vertical="center"/>
    </xf>
    <xf numFmtId="0" fontId="0" fillId="0" borderId="0" xfId="0" applyAlignment="1">
      <alignment horizontal="center" vertical="center"/>
    </xf>
    <xf numFmtId="3" fontId="0" fillId="0" borderId="0" xfId="0" applyNumberFormat="1" applyAlignment="1">
      <alignment vertical="center"/>
    </xf>
    <xf numFmtId="0" fontId="10" fillId="0" borderId="0" xfId="0" applyFont="1" applyAlignment="1">
      <alignment vertical="center"/>
    </xf>
    <xf numFmtId="0" fontId="0" fillId="0" borderId="0" xfId="0" applyAlignment="1">
      <alignment horizontal="center"/>
    </xf>
    <xf numFmtId="0" fontId="1" fillId="0" borderId="0" xfId="0" applyFont="1"/>
    <xf numFmtId="3" fontId="14" fillId="0" borderId="1" xfId="0" applyNumberFormat="1" applyFont="1" applyBorder="1"/>
    <xf numFmtId="3" fontId="16" fillId="0" borderId="0" xfId="0" applyNumberFormat="1" applyFont="1"/>
    <xf numFmtId="3" fontId="15" fillId="0" borderId="1" xfId="0" applyNumberFormat="1" applyFont="1" applyBorder="1"/>
    <xf numFmtId="3" fontId="1" fillId="0" borderId="1" xfId="0" applyNumberFormat="1" applyFont="1" applyBorder="1" applyAlignment="1">
      <alignment vertical="center"/>
    </xf>
    <xf numFmtId="0" fontId="1" fillId="0" borderId="0" xfId="0" applyFont="1" applyAlignment="1">
      <alignment horizontal="center"/>
    </xf>
    <xf numFmtId="3" fontId="1" fillId="0" borderId="0" xfId="0" applyNumberFormat="1" applyFont="1"/>
    <xf numFmtId="0" fontId="1" fillId="0" borderId="1" xfId="0" applyFont="1" applyBorder="1" applyAlignment="1">
      <alignment vertical="center"/>
    </xf>
    <xf numFmtId="0" fontId="1" fillId="0" borderId="1" xfId="0" applyFont="1" applyBorder="1" applyAlignment="1">
      <alignment horizontal="center" vertical="center"/>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9" fontId="18" fillId="0" borderId="1" xfId="1" applyFont="1" applyBorder="1" applyAlignment="1">
      <alignment vertical="center"/>
    </xf>
    <xf numFmtId="0" fontId="21" fillId="0" borderId="0" xfId="0" applyFont="1"/>
    <xf numFmtId="3" fontId="21" fillId="0" borderId="0" xfId="0" applyNumberFormat="1" applyFont="1"/>
    <xf numFmtId="0" fontId="22" fillId="0" borderId="0" xfId="0" applyFont="1"/>
    <xf numFmtId="0" fontId="22" fillId="0" borderId="0" xfId="0" applyFont="1" applyAlignment="1">
      <alignment horizontal="center"/>
    </xf>
    <xf numFmtId="3" fontId="22" fillId="0" borderId="0" xfId="0" applyNumberFormat="1" applyFont="1"/>
    <xf numFmtId="0" fontId="21" fillId="0" borderId="0" xfId="0" applyFont="1" applyAlignment="1">
      <alignment horizontal="center" wrapText="1"/>
    </xf>
    <xf numFmtId="0" fontId="25" fillId="0" borderId="1" xfId="0" applyFont="1" applyBorder="1" applyAlignment="1">
      <alignment horizontal="center" vertical="center" wrapText="1"/>
    </xf>
    <xf numFmtId="3" fontId="25" fillId="0" borderId="1" xfId="0" applyNumberFormat="1" applyFont="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horizontal="center" vertical="center"/>
    </xf>
    <xf numFmtId="3" fontId="26" fillId="0" borderId="0" xfId="0" applyNumberFormat="1" applyFont="1"/>
    <xf numFmtId="3" fontId="27" fillId="0" borderId="1" xfId="0" applyNumberFormat="1" applyFont="1" applyBorder="1"/>
    <xf numFmtId="3" fontId="25" fillId="0" borderId="1" xfId="0" applyNumberFormat="1" applyFont="1" applyBorder="1" applyAlignment="1">
      <alignment vertical="center"/>
    </xf>
    <xf numFmtId="9" fontId="25" fillId="0" borderId="1" xfId="1" applyFont="1" applyBorder="1" applyAlignment="1">
      <alignment vertical="center"/>
    </xf>
    <xf numFmtId="0" fontId="26" fillId="0" borderId="0" xfId="0" applyFont="1"/>
    <xf numFmtId="0" fontId="22" fillId="0" borderId="1" xfId="0" applyFont="1" applyBorder="1" applyAlignment="1">
      <alignment vertical="center"/>
    </xf>
    <xf numFmtId="0" fontId="22" fillId="0" borderId="1" xfId="0" applyFont="1" applyBorder="1" applyAlignment="1">
      <alignment horizontal="center" vertical="center"/>
    </xf>
    <xf numFmtId="3" fontId="22" fillId="0" borderId="1" xfId="0" applyNumberFormat="1" applyFont="1" applyBorder="1" applyAlignment="1">
      <alignment vertical="center"/>
    </xf>
    <xf numFmtId="3" fontId="28" fillId="0" borderId="1" xfId="0" applyNumberFormat="1" applyFont="1" applyBorder="1"/>
    <xf numFmtId="0" fontId="29" fillId="0" borderId="1" xfId="0" applyFont="1" applyBorder="1" applyAlignment="1">
      <alignment vertical="center"/>
    </xf>
    <xf numFmtId="0" fontId="29" fillId="0" borderId="1" xfId="0" applyFont="1" applyBorder="1" applyAlignment="1">
      <alignment horizontal="center" vertical="center"/>
    </xf>
    <xf numFmtId="3" fontId="29" fillId="0" borderId="1" xfId="0" applyNumberFormat="1" applyFont="1" applyBorder="1" applyAlignment="1">
      <alignment vertical="center"/>
    </xf>
    <xf numFmtId="3" fontId="30" fillId="0" borderId="1" xfId="0" applyNumberFormat="1" applyFont="1" applyBorder="1"/>
    <xf numFmtId="0" fontId="31" fillId="0" borderId="0" xfId="0" applyFont="1"/>
    <xf numFmtId="3" fontId="31" fillId="0" borderId="0" xfId="0" applyNumberFormat="1" applyFont="1"/>
    <xf numFmtId="3" fontId="21" fillId="0" borderId="1" xfId="0" applyNumberFormat="1" applyFont="1" applyBorder="1"/>
    <xf numFmtId="9" fontId="29" fillId="0" borderId="1" xfId="1" applyFont="1" applyBorder="1" applyAlignment="1">
      <alignment vertical="center"/>
    </xf>
    <xf numFmtId="3" fontId="31" fillId="0" borderId="1" xfId="0" applyNumberFormat="1" applyFont="1" applyBorder="1"/>
    <xf numFmtId="4" fontId="22" fillId="0" borderId="1" xfId="0" applyNumberFormat="1"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xf>
    <xf numFmtId="3" fontId="21" fillId="0" borderId="0" xfId="0" applyNumberFormat="1" applyFont="1" applyAlignment="1">
      <alignment vertical="center"/>
    </xf>
    <xf numFmtId="0" fontId="27" fillId="0" borderId="0" xfId="0" applyFont="1" applyAlignment="1">
      <alignment vertical="center"/>
    </xf>
    <xf numFmtId="0" fontId="21" fillId="0" borderId="0" xfId="0" applyFont="1" applyAlignment="1">
      <alignment horizontal="center"/>
    </xf>
    <xf numFmtId="9" fontId="26" fillId="0" borderId="0" xfId="1" applyFont="1"/>
    <xf numFmtId="9" fontId="0" fillId="0" borderId="0" xfId="1" applyFont="1"/>
    <xf numFmtId="1" fontId="4" fillId="0" borderId="0" xfId="0" applyNumberFormat="1" applyFont="1"/>
    <xf numFmtId="3" fontId="21" fillId="0" borderId="0" xfId="0" applyNumberFormat="1" applyFont="1" applyAlignment="1">
      <alignment horizontal="center" wrapText="1"/>
    </xf>
    <xf numFmtId="3" fontId="27" fillId="0" borderId="1" xfId="0" applyNumberFormat="1" applyFont="1" applyBorder="1" applyAlignment="1">
      <alignment vertical="center"/>
    </xf>
    <xf numFmtId="9" fontId="25" fillId="0" borderId="0" xfId="1" applyFont="1" applyBorder="1" applyAlignment="1">
      <alignment vertical="center"/>
    </xf>
    <xf numFmtId="3" fontId="28" fillId="0" borderId="1" xfId="0" applyNumberFormat="1" applyFont="1" applyBorder="1" applyAlignment="1">
      <alignment vertical="center"/>
    </xf>
    <xf numFmtId="3" fontId="30" fillId="0" borderId="1" xfId="0" applyNumberFormat="1" applyFont="1" applyBorder="1" applyAlignment="1">
      <alignment vertical="center"/>
    </xf>
    <xf numFmtId="3" fontId="35" fillId="0" borderId="0" xfId="0" applyNumberFormat="1" applyFont="1"/>
    <xf numFmtId="9" fontId="21" fillId="0" borderId="0" xfId="1" applyFont="1"/>
    <xf numFmtId="0" fontId="35" fillId="0" borderId="0" xfId="0" applyFont="1"/>
    <xf numFmtId="3" fontId="36" fillId="0" borderId="1" xfId="0" applyNumberFormat="1" applyFont="1" applyBorder="1"/>
    <xf numFmtId="3" fontId="29" fillId="0" borderId="5" xfId="0" applyNumberFormat="1" applyFont="1" applyBorder="1" applyAlignment="1">
      <alignment vertical="center"/>
    </xf>
    <xf numFmtId="3" fontId="21" fillId="0" borderId="5" xfId="0" applyNumberFormat="1" applyFont="1" applyBorder="1"/>
    <xf numFmtId="3" fontId="31" fillId="0" borderId="5" xfId="0" applyNumberFormat="1" applyFont="1" applyBorder="1"/>
    <xf numFmtId="164" fontId="7" fillId="0" borderId="0" xfId="2" applyNumberFormat="1" applyFont="1" applyBorder="1" applyAlignment="1">
      <alignment vertical="center"/>
    </xf>
    <xf numFmtId="3" fontId="7" fillId="0" borderId="5" xfId="0" applyNumberFormat="1" applyFont="1" applyBorder="1" applyAlignment="1">
      <alignment vertical="center"/>
    </xf>
    <xf numFmtId="3" fontId="5" fillId="0" borderId="5" xfId="0" applyNumberFormat="1" applyFont="1" applyBorder="1" applyAlignment="1">
      <alignment vertical="center"/>
    </xf>
    <xf numFmtId="3" fontId="8" fillId="0" borderId="5" xfId="0" applyNumberFormat="1" applyFont="1" applyBorder="1" applyAlignment="1">
      <alignment vertical="center"/>
    </xf>
    <xf numFmtId="3" fontId="0" fillId="0" borderId="5" xfId="0" applyNumberFormat="1" applyBorder="1"/>
    <xf numFmtId="3" fontId="40" fillId="0" borderId="1" xfId="0" applyNumberFormat="1" applyFont="1" applyBorder="1"/>
    <xf numFmtId="0" fontId="40" fillId="0" borderId="1" xfId="0" applyFont="1" applyBorder="1"/>
    <xf numFmtId="9" fontId="9" fillId="0" borderId="0" xfId="1" applyFont="1"/>
    <xf numFmtId="9" fontId="31" fillId="0" borderId="0" xfId="1" applyFont="1"/>
    <xf numFmtId="3" fontId="29" fillId="0" borderId="1" xfId="0" applyNumberFormat="1" applyFont="1" applyBorder="1" applyAlignment="1">
      <alignment horizontal="right"/>
    </xf>
    <xf numFmtId="3" fontId="21" fillId="0" borderId="1" xfId="0" applyNumberFormat="1" applyFont="1" applyBorder="1" applyAlignment="1">
      <alignment horizontal="right"/>
    </xf>
    <xf numFmtId="3" fontId="42" fillId="0" borderId="1" xfId="0" applyNumberFormat="1" applyFont="1" applyBorder="1" applyAlignment="1">
      <alignment horizontal="right"/>
    </xf>
    <xf numFmtId="0" fontId="7" fillId="0" borderId="5" xfId="0" applyFont="1" applyBorder="1" applyAlignment="1">
      <alignment horizontal="center" vertical="center" wrapText="1"/>
    </xf>
    <xf numFmtId="3" fontId="7" fillId="0" borderId="3" xfId="0" applyNumberFormat="1" applyFont="1" applyBorder="1" applyAlignment="1">
      <alignment horizontal="center" vertical="center" wrapText="1"/>
    </xf>
    <xf numFmtId="3" fontId="1" fillId="0" borderId="3" xfId="0" applyNumberFormat="1" applyFont="1" applyBorder="1" applyAlignment="1">
      <alignment vertical="center"/>
    </xf>
    <xf numFmtId="0" fontId="5" fillId="0" borderId="5" xfId="0" applyFont="1" applyBorder="1" applyAlignment="1">
      <alignment vertical="center"/>
    </xf>
    <xf numFmtId="3" fontId="41" fillId="0" borderId="1" xfId="0" applyNumberFormat="1" applyFont="1" applyBorder="1" applyAlignment="1">
      <alignment horizontal="right"/>
    </xf>
    <xf numFmtId="3" fontId="39" fillId="0" borderId="1" xfId="0" applyNumberFormat="1" applyFont="1" applyBorder="1" applyAlignment="1">
      <alignment horizontal="right"/>
    </xf>
    <xf numFmtId="3" fontId="43" fillId="0" borderId="1" xfId="0" applyNumberFormat="1" applyFont="1" applyBorder="1" applyAlignment="1">
      <alignment horizontal="right"/>
    </xf>
    <xf numFmtId="0" fontId="46" fillId="0" borderId="0" xfId="0" applyFont="1"/>
    <xf numFmtId="0" fontId="28" fillId="0" borderId="0" xfId="0" applyFont="1"/>
    <xf numFmtId="0" fontId="28" fillId="0" borderId="0" xfId="0" applyFont="1" applyAlignment="1">
      <alignment horizontal="center"/>
    </xf>
    <xf numFmtId="3" fontId="28" fillId="0" borderId="0" xfId="0" applyNumberFormat="1" applyFont="1"/>
    <xf numFmtId="0" fontId="27" fillId="0" borderId="1" xfId="0" applyFont="1" applyBorder="1" applyAlignment="1">
      <alignment horizontal="center" vertical="center" wrapText="1"/>
    </xf>
    <xf numFmtId="3" fontId="27" fillId="0" borderId="1" xfId="0" applyNumberFormat="1" applyFont="1" applyBorder="1" applyAlignment="1">
      <alignment horizontal="center" vertical="center" wrapText="1"/>
    </xf>
    <xf numFmtId="0" fontId="27" fillId="0" borderId="1" xfId="0" applyFont="1" applyBorder="1" applyAlignment="1">
      <alignment vertical="center"/>
    </xf>
    <xf numFmtId="0" fontId="27" fillId="0" borderId="1" xfId="0" applyFont="1" applyBorder="1" applyAlignment="1">
      <alignment horizontal="center" vertical="center"/>
    </xf>
    <xf numFmtId="3" fontId="25" fillId="0" borderId="1" xfId="0" applyNumberFormat="1" applyFont="1" applyBorder="1"/>
    <xf numFmtId="9" fontId="27" fillId="0" borderId="1" xfId="1" applyFont="1" applyBorder="1" applyAlignment="1">
      <alignment vertical="center"/>
    </xf>
    <xf numFmtId="0" fontId="48" fillId="0" borderId="0" xfId="0" applyFont="1"/>
    <xf numFmtId="0" fontId="28" fillId="0" borderId="1" xfId="0" applyFont="1" applyBorder="1" applyAlignment="1">
      <alignment vertical="center"/>
    </xf>
    <xf numFmtId="0" fontId="28" fillId="0" borderId="1" xfId="0" applyFont="1" applyBorder="1" applyAlignment="1">
      <alignment horizontal="center" vertical="center"/>
    </xf>
    <xf numFmtId="0" fontId="25" fillId="0" borderId="1" xfId="0" applyFont="1" applyBorder="1"/>
    <xf numFmtId="0" fontId="30" fillId="0" borderId="1" xfId="0" applyFont="1" applyBorder="1" applyAlignment="1">
      <alignment vertical="center"/>
    </xf>
    <xf numFmtId="0" fontId="30" fillId="0" borderId="1" xfId="0" applyFont="1" applyBorder="1" applyAlignment="1">
      <alignment horizontal="center" vertical="center"/>
    </xf>
    <xf numFmtId="0" fontId="49" fillId="0" borderId="0" xfId="0" applyFont="1"/>
    <xf numFmtId="9" fontId="30" fillId="0" borderId="1" xfId="1" applyFont="1" applyBorder="1" applyAlignment="1">
      <alignment vertical="center"/>
    </xf>
    <xf numFmtId="3" fontId="30" fillId="0" borderId="1" xfId="0" applyNumberFormat="1" applyFont="1" applyBorder="1" applyAlignment="1">
      <alignment horizontal="right"/>
    </xf>
    <xf numFmtId="4" fontId="28" fillId="0" borderId="1" xfId="0" applyNumberFormat="1" applyFont="1" applyBorder="1" applyAlignment="1">
      <alignment vertical="center"/>
    </xf>
    <xf numFmtId="0" fontId="46" fillId="0" borderId="0" xfId="0" applyFont="1" applyAlignment="1">
      <alignment vertical="center"/>
    </xf>
    <xf numFmtId="0" fontId="46" fillId="0" borderId="0" xfId="0" applyFont="1" applyAlignment="1">
      <alignment horizontal="center" vertical="center"/>
    </xf>
    <xf numFmtId="3" fontId="46" fillId="0" borderId="0" xfId="0" applyNumberFormat="1" applyFont="1" applyAlignment="1">
      <alignment vertical="center"/>
    </xf>
    <xf numFmtId="0" fontId="46" fillId="0" borderId="0" xfId="0" applyFont="1" applyAlignment="1">
      <alignment horizontal="center"/>
    </xf>
    <xf numFmtId="3" fontId="46" fillId="0" borderId="0" xfId="0" applyNumberFormat="1" applyFont="1"/>
    <xf numFmtId="9" fontId="46" fillId="0" borderId="0" xfId="1" applyFont="1"/>
    <xf numFmtId="3" fontId="28" fillId="0" borderId="1" xfId="0" applyNumberFormat="1" applyFont="1" applyBorder="1" applyAlignment="1">
      <alignment horizontal="right"/>
    </xf>
    <xf numFmtId="0" fontId="50" fillId="0" borderId="1" xfId="0" applyFont="1" applyBorder="1" applyAlignment="1">
      <alignment vertical="center"/>
    </xf>
    <xf numFmtId="3" fontId="29" fillId="0" borderId="1" xfId="0" applyNumberFormat="1" applyFont="1" applyBorder="1"/>
    <xf numFmtId="9" fontId="25" fillId="0" borderId="1" xfId="1" applyFont="1" applyBorder="1" applyAlignment="1"/>
    <xf numFmtId="9" fontId="51" fillId="0" borderId="1" xfId="1" applyFont="1" applyBorder="1" applyAlignment="1">
      <alignment vertical="center"/>
    </xf>
    <xf numFmtId="3" fontId="44" fillId="0" borderId="0" xfId="0" applyNumberFormat="1" applyFont="1"/>
    <xf numFmtId="0" fontId="44" fillId="0" borderId="0" xfId="0" applyFont="1"/>
    <xf numFmtId="10" fontId="21" fillId="0" borderId="0" xfId="1" applyNumberFormat="1" applyFont="1"/>
    <xf numFmtId="9" fontId="52" fillId="0" borderId="0" xfId="1" applyFont="1"/>
    <xf numFmtId="3" fontId="53" fillId="0" borderId="1" xfId="0" applyNumberFormat="1" applyFont="1" applyBorder="1"/>
    <xf numFmtId="3" fontId="54" fillId="0" borderId="1" xfId="0" applyNumberFormat="1" applyFont="1" applyBorder="1"/>
    <xf numFmtId="3" fontId="55" fillId="0" borderId="1" xfId="0" applyNumberFormat="1" applyFont="1" applyBorder="1"/>
    <xf numFmtId="3" fontId="53" fillId="0" borderId="2" xfId="0" applyNumberFormat="1" applyFont="1" applyBorder="1"/>
    <xf numFmtId="9" fontId="55" fillId="0" borderId="2" xfId="1" applyFont="1" applyBorder="1"/>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vertical="center"/>
    </xf>
    <xf numFmtId="3" fontId="25" fillId="0" borderId="0" xfId="0" applyNumberFormat="1" applyFont="1"/>
    <xf numFmtId="4" fontId="1" fillId="0" borderId="0" xfId="0" applyNumberFormat="1" applyFont="1" applyAlignment="1">
      <alignment vertical="center"/>
    </xf>
    <xf numFmtId="0" fontId="45" fillId="0" borderId="1" xfId="0" applyFont="1" applyBorder="1" applyAlignment="1">
      <alignment vertical="center"/>
    </xf>
    <xf numFmtId="0" fontId="45" fillId="0" borderId="1" xfId="0" applyFont="1" applyBorder="1" applyAlignment="1">
      <alignment horizontal="center" vertical="center"/>
    </xf>
    <xf numFmtId="3" fontId="51" fillId="0" borderId="1" xfId="0" applyNumberFormat="1" applyFont="1" applyBorder="1"/>
    <xf numFmtId="3" fontId="56" fillId="0" borderId="1" xfId="0" applyNumberFormat="1" applyFont="1" applyBorder="1" applyAlignment="1">
      <alignment horizontal="right"/>
    </xf>
    <xf numFmtId="9" fontId="57" fillId="0" borderId="1" xfId="1" applyFont="1" applyBorder="1" applyAlignment="1">
      <alignment vertical="center"/>
    </xf>
    <xf numFmtId="164" fontId="51" fillId="0" borderId="0" xfId="2" applyNumberFormat="1" applyFont="1" applyBorder="1" applyAlignment="1">
      <alignment vertical="center"/>
    </xf>
    <xf numFmtId="3" fontId="58" fillId="0" borderId="0" xfId="0" applyNumberFormat="1" applyFont="1"/>
    <xf numFmtId="3" fontId="52" fillId="0" borderId="0" xfId="0" applyNumberFormat="1" applyFont="1"/>
    <xf numFmtId="0" fontId="52" fillId="0" borderId="0" xfId="0" applyFont="1"/>
    <xf numFmtId="0" fontId="51" fillId="0" borderId="1" xfId="0" applyFont="1" applyBorder="1" applyAlignment="1">
      <alignment vertical="center"/>
    </xf>
    <xf numFmtId="0" fontId="51" fillId="0" borderId="1" xfId="0" applyFont="1" applyBorder="1" applyAlignment="1">
      <alignment horizontal="center" vertical="center"/>
    </xf>
    <xf numFmtId="3" fontId="59" fillId="0" borderId="1" xfId="0" applyNumberFormat="1" applyFont="1" applyBorder="1"/>
    <xf numFmtId="3" fontId="60" fillId="0" borderId="1" xfId="0" applyNumberFormat="1" applyFont="1" applyBorder="1"/>
    <xf numFmtId="0" fontId="58" fillId="0" borderId="0" xfId="0" applyFont="1"/>
    <xf numFmtId="9" fontId="45" fillId="0" borderId="1" xfId="1" applyFont="1" applyBorder="1" applyAlignment="1">
      <alignment vertical="center"/>
    </xf>
    <xf numFmtId="3" fontId="56" fillId="0" borderId="1" xfId="0" applyNumberFormat="1" applyFont="1" applyBorder="1"/>
    <xf numFmtId="3" fontId="61" fillId="0" borderId="1" xfId="0" applyNumberFormat="1" applyFont="1" applyBorder="1" applyAlignment="1">
      <alignment horizontal="right"/>
    </xf>
    <xf numFmtId="0" fontId="61" fillId="0" borderId="1" xfId="0" applyFont="1" applyBorder="1" applyAlignment="1">
      <alignment horizontal="right"/>
    </xf>
    <xf numFmtId="3" fontId="40" fillId="0" borderId="9" xfId="0" applyNumberFormat="1" applyFont="1" applyBorder="1" applyAlignment="1">
      <alignment horizontal="right" vertical="center"/>
    </xf>
    <xf numFmtId="3" fontId="62" fillId="0" borderId="10" xfId="0" applyNumberFormat="1" applyFont="1" applyBorder="1" applyAlignment="1">
      <alignment horizontal="right" vertical="center"/>
    </xf>
    <xf numFmtId="0" fontId="62" fillId="0" borderId="10" xfId="0" applyFont="1" applyBorder="1" applyAlignment="1">
      <alignment horizontal="right" vertical="center"/>
    </xf>
    <xf numFmtId="0" fontId="62" fillId="0" borderId="10" xfId="0" applyFont="1" applyBorder="1" applyAlignment="1">
      <alignment horizontal="left" vertical="center"/>
    </xf>
    <xf numFmtId="3" fontId="43" fillId="0" borderId="10" xfId="0" applyNumberFormat="1" applyFont="1" applyBorder="1" applyAlignment="1">
      <alignment horizontal="right" vertical="center"/>
    </xf>
    <xf numFmtId="3" fontId="63" fillId="0" borderId="10" xfId="0" applyNumberFormat="1" applyFont="1" applyBorder="1" applyAlignment="1">
      <alignment horizontal="right" vertical="center"/>
    </xf>
    <xf numFmtId="0" fontId="63" fillId="0" borderId="10" xfId="0" applyFont="1" applyBorder="1" applyAlignment="1">
      <alignment horizontal="right" vertical="center"/>
    </xf>
    <xf numFmtId="9" fontId="4" fillId="0" borderId="0" xfId="1" applyFont="1"/>
    <xf numFmtId="3" fontId="64" fillId="0" borderId="1" xfId="0" applyNumberFormat="1" applyFont="1" applyBorder="1"/>
    <xf numFmtId="3" fontId="65" fillId="0" borderId="0" xfId="0" applyNumberFormat="1" applyFont="1"/>
    <xf numFmtId="3" fontId="30" fillId="0" borderId="0" xfId="0" applyNumberFormat="1" applyFont="1"/>
    <xf numFmtId="0" fontId="27" fillId="0" borderId="1" xfId="0" applyFont="1" applyBorder="1"/>
    <xf numFmtId="0" fontId="27" fillId="0" borderId="0" xfId="0" applyFont="1"/>
    <xf numFmtId="9" fontId="27" fillId="0" borderId="0" xfId="1" applyFont="1"/>
    <xf numFmtId="3" fontId="27" fillId="0" borderId="0" xfId="0" applyNumberFormat="1" applyFont="1"/>
    <xf numFmtId="0" fontId="28" fillId="0" borderId="1" xfId="0" applyFont="1" applyBorder="1"/>
    <xf numFmtId="3" fontId="65" fillId="0" borderId="1" xfId="0" applyNumberFormat="1" applyFont="1" applyBorder="1" applyAlignment="1">
      <alignment vertical="center"/>
    </xf>
    <xf numFmtId="0" fontId="30" fillId="0" borderId="0" xfId="0" applyFont="1"/>
    <xf numFmtId="0" fontId="30" fillId="0" borderId="1" xfId="0" applyFont="1" applyBorder="1"/>
    <xf numFmtId="1" fontId="28" fillId="0" borderId="1" xfId="1" applyNumberFormat="1" applyFont="1" applyBorder="1"/>
    <xf numFmtId="9" fontId="27" fillId="0" borderId="1" xfId="1" applyFont="1" applyFill="1" applyBorder="1" applyAlignment="1">
      <alignment vertical="center"/>
    </xf>
    <xf numFmtId="9" fontId="27" fillId="2" borderId="0" xfId="1" applyFont="1" applyFill="1"/>
    <xf numFmtId="9" fontId="30" fillId="0" borderId="1" xfId="1" applyFont="1" applyFill="1" applyBorder="1" applyAlignment="1">
      <alignment vertical="center"/>
    </xf>
    <xf numFmtId="3" fontId="66" fillId="0" borderId="1" xfId="0" applyNumberFormat="1" applyFont="1" applyBorder="1"/>
    <xf numFmtId="0" fontId="28" fillId="0" borderId="0" xfId="0" applyFont="1" applyAlignment="1">
      <alignment vertical="center"/>
    </xf>
    <xf numFmtId="0" fontId="28" fillId="0" borderId="0" xfId="0" applyFont="1" applyAlignment="1">
      <alignment horizontal="center" vertical="center"/>
    </xf>
    <xf numFmtId="3" fontId="28" fillId="0" borderId="0" xfId="0" applyNumberFormat="1" applyFont="1" applyAlignment="1">
      <alignment vertical="center"/>
    </xf>
    <xf numFmtId="9" fontId="28" fillId="0" borderId="1" xfId="1" applyFont="1" applyBorder="1"/>
    <xf numFmtId="0" fontId="20" fillId="0" borderId="0" xfId="0" applyFont="1" applyAlignment="1">
      <alignment horizontal="center"/>
    </xf>
    <xf numFmtId="3" fontId="67" fillId="0" borderId="0" xfId="0" applyNumberFormat="1" applyFont="1" applyAlignment="1">
      <alignment horizontal="right" vertical="center"/>
    </xf>
    <xf numFmtId="9" fontId="68" fillId="0" borderId="0" xfId="1" applyFont="1"/>
    <xf numFmtId="3" fontId="46" fillId="0" borderId="1" xfId="0" applyNumberFormat="1" applyFont="1" applyBorder="1"/>
    <xf numFmtId="3" fontId="49" fillId="0" borderId="0" xfId="0" applyNumberFormat="1" applyFont="1"/>
    <xf numFmtId="3" fontId="69" fillId="0" borderId="1" xfId="0" applyNumberFormat="1" applyFont="1" applyBorder="1"/>
    <xf numFmtId="3" fontId="27" fillId="0" borderId="1" xfId="0" applyNumberFormat="1" applyFont="1" applyBorder="1" applyAlignment="1">
      <alignment horizontal="right"/>
    </xf>
    <xf numFmtId="4" fontId="40" fillId="3" borderId="9" xfId="0" applyNumberFormat="1" applyFont="1" applyFill="1" applyBorder="1" applyAlignment="1">
      <alignment horizontal="right" vertical="center" wrapText="1"/>
    </xf>
    <xf numFmtId="4" fontId="62" fillId="3" borderId="11" xfId="0" applyNumberFormat="1" applyFont="1" applyFill="1" applyBorder="1" applyAlignment="1">
      <alignment horizontal="right" vertical="center" wrapText="1"/>
    </xf>
    <xf numFmtId="0" fontId="62" fillId="3" borderId="9" xfId="0" applyFont="1" applyFill="1" applyBorder="1" applyAlignment="1">
      <alignment horizontal="right" vertical="center" wrapText="1"/>
    </xf>
    <xf numFmtId="0" fontId="62" fillId="3" borderId="10" xfId="0" applyFont="1" applyFill="1" applyBorder="1" applyAlignment="1">
      <alignment horizontal="right" vertical="center" wrapText="1"/>
    </xf>
    <xf numFmtId="4" fontId="40" fillId="3" borderId="10" xfId="0" applyNumberFormat="1" applyFont="1" applyFill="1" applyBorder="1" applyAlignment="1">
      <alignment horizontal="right" vertical="center" wrapText="1"/>
    </xf>
    <xf numFmtId="0" fontId="40" fillId="3" borderId="10" xfId="0" applyFont="1" applyFill="1" applyBorder="1" applyAlignment="1">
      <alignment horizontal="right" vertical="center" wrapText="1"/>
    </xf>
    <xf numFmtId="4" fontId="62" fillId="3" borderId="10" xfId="0" applyNumberFormat="1" applyFont="1" applyFill="1" applyBorder="1" applyAlignment="1">
      <alignment horizontal="right" vertical="center" wrapText="1"/>
    </xf>
    <xf numFmtId="4" fontId="26" fillId="0" borderId="0" xfId="0" applyNumberFormat="1" applyFont="1"/>
    <xf numFmtId="1" fontId="26" fillId="0" borderId="0" xfId="1" applyNumberFormat="1" applyFont="1"/>
    <xf numFmtId="3" fontId="29" fillId="0" borderId="0" xfId="0" applyNumberFormat="1" applyFont="1" applyAlignment="1">
      <alignment vertical="center"/>
    </xf>
    <xf numFmtId="3" fontId="39" fillId="0" borderId="9" xfId="0" applyNumberFormat="1" applyFont="1" applyBorder="1" applyAlignment="1">
      <alignment horizontal="right" vertical="center"/>
    </xf>
    <xf numFmtId="3" fontId="39" fillId="0" borderId="10" xfId="0" applyNumberFormat="1" applyFont="1" applyBorder="1" applyAlignment="1">
      <alignment horizontal="right" vertical="center"/>
    </xf>
    <xf numFmtId="3" fontId="70" fillId="0" borderId="9" xfId="0" applyNumberFormat="1" applyFont="1" applyBorder="1" applyAlignment="1">
      <alignment horizontal="right" vertical="center"/>
    </xf>
    <xf numFmtId="3" fontId="41" fillId="0" borderId="10" xfId="0" applyNumberFormat="1" applyFont="1" applyBorder="1" applyAlignment="1">
      <alignment horizontal="right" vertical="center"/>
    </xf>
    <xf numFmtId="0" fontId="41" fillId="0" borderId="10" xfId="0" applyFont="1" applyBorder="1" applyAlignment="1">
      <alignment horizontal="left" vertical="center"/>
    </xf>
    <xf numFmtId="3" fontId="71" fillId="0" borderId="10" xfId="0" applyNumberFormat="1" applyFont="1" applyBorder="1" applyAlignment="1">
      <alignment horizontal="right" vertical="center"/>
    </xf>
    <xf numFmtId="3" fontId="32" fillId="0" borderId="1" xfId="0" applyNumberFormat="1" applyFont="1" applyBorder="1"/>
    <xf numFmtId="3" fontId="22" fillId="0" borderId="2" xfId="0" applyNumberFormat="1" applyFont="1" applyBorder="1" applyAlignment="1">
      <alignment vertical="center"/>
    </xf>
    <xf numFmtId="3" fontId="2" fillId="0" borderId="1" xfId="0" applyNumberFormat="1" applyFont="1" applyBorder="1" applyAlignment="1">
      <alignment vertical="center"/>
    </xf>
    <xf numFmtId="3" fontId="72" fillId="0" borderId="5" xfId="0" applyNumberFormat="1" applyFont="1" applyBorder="1"/>
    <xf numFmtId="3" fontId="62" fillId="0" borderId="9" xfId="0" applyNumberFormat="1" applyFont="1" applyBorder="1" applyAlignment="1">
      <alignment horizontal="right" vertical="center"/>
    </xf>
    <xf numFmtId="0" fontId="13" fillId="0" borderId="0" xfId="0" applyFont="1" applyAlignment="1">
      <alignment horizontal="center"/>
    </xf>
    <xf numFmtId="0" fontId="10"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11" fillId="0" borderId="0" xfId="0" applyFont="1" applyAlignment="1">
      <alignment horizontal="left" vertical="center"/>
    </xf>
    <xf numFmtId="0" fontId="32" fillId="0" borderId="0" xfId="0" applyFont="1" applyAlignment="1">
      <alignment horizontal="center" vertical="center"/>
    </xf>
    <xf numFmtId="0" fontId="20" fillId="0" borderId="0" xfId="0" applyFont="1" applyAlignment="1">
      <alignment horizontal="center"/>
    </xf>
    <xf numFmtId="0" fontId="24" fillId="0" borderId="0" xfId="0" applyFont="1" applyAlignment="1">
      <alignment horizontal="center"/>
    </xf>
    <xf numFmtId="0" fontId="25" fillId="0" borderId="1" xfId="0" applyFont="1" applyBorder="1" applyAlignment="1">
      <alignment horizontal="center" vertical="center" wrapText="1"/>
    </xf>
    <xf numFmtId="3" fontId="25" fillId="0" borderId="1" xfId="0" applyNumberFormat="1" applyFont="1" applyBorder="1" applyAlignment="1">
      <alignment horizontal="center" vertical="center" wrapText="1"/>
    </xf>
    <xf numFmtId="0" fontId="27" fillId="0" borderId="0" xfId="0" applyFont="1" applyAlignment="1">
      <alignment horizontal="center" vertical="center"/>
    </xf>
    <xf numFmtId="0" fontId="3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left"/>
    </xf>
    <xf numFmtId="0" fontId="27" fillId="0" borderId="0" xfId="0" applyFont="1" applyAlignment="1">
      <alignment horizontal="center"/>
    </xf>
    <xf numFmtId="0" fontId="10" fillId="0" borderId="0" xfId="0" applyFont="1" applyAlignment="1">
      <alignment horizontal="center"/>
    </xf>
    <xf numFmtId="0" fontId="27" fillId="0" borderId="1" xfId="0" applyFont="1" applyBorder="1" applyAlignment="1">
      <alignment horizontal="center" vertical="center" wrapText="1"/>
    </xf>
    <xf numFmtId="3" fontId="27" fillId="0" borderId="1" xfId="0" applyNumberFormat="1" applyFont="1" applyBorder="1" applyAlignment="1">
      <alignment horizontal="center" vertical="center" wrapText="1"/>
    </xf>
    <xf numFmtId="0" fontId="28" fillId="0" borderId="0" xfId="0" applyFont="1" applyAlignment="1">
      <alignment horizontal="left"/>
    </xf>
    <xf numFmtId="0" fontId="37" fillId="0" borderId="0" xfId="0" applyFont="1" applyAlignment="1">
      <alignment horizontal="left" vertical="center" wrapText="1"/>
    </xf>
    <xf numFmtId="0" fontId="37"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center" wrapText="1"/>
    </xf>
    <xf numFmtId="0" fontId="33" fillId="0" borderId="0" xfId="0" applyFont="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0" fillId="0" borderId="1" xfId="0" applyBorder="1"/>
  </cellXfs>
  <cellStyles count="3">
    <cellStyle name="Comma" xfId="2" builtinId="3"/>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cat>
            <c:strRef>
              <c:f>Sheet1!$A$4:$A$9</c:f>
              <c:strCache>
                <c:ptCount val="6"/>
                <c:pt idx="0">
                  <c:v>Thương</c:v>
                </c:pt>
                <c:pt idx="1">
                  <c:v>Hồng Cương</c:v>
                </c:pt>
                <c:pt idx="2">
                  <c:v>Nam</c:v>
                </c:pt>
                <c:pt idx="3">
                  <c:v>Huy</c:v>
                </c:pt>
                <c:pt idx="4">
                  <c:v>Mạnh</c:v>
                </c:pt>
                <c:pt idx="5">
                  <c:v>A Hà</c:v>
                </c:pt>
              </c:strCache>
            </c:strRef>
          </c:cat>
          <c:val>
            <c:numRef>
              <c:f>Sheet1!$B$4:$B$9</c:f>
              <c:numCache>
                <c:formatCode>General</c:formatCode>
                <c:ptCount val="6"/>
                <c:pt idx="0">
                  <c:v>28</c:v>
                </c:pt>
                <c:pt idx="1">
                  <c:v>28</c:v>
                </c:pt>
                <c:pt idx="2">
                  <c:v>27</c:v>
                </c:pt>
                <c:pt idx="3">
                  <c:v>27</c:v>
                </c:pt>
                <c:pt idx="4">
                  <c:v>14</c:v>
                </c:pt>
              </c:numCache>
            </c:numRef>
          </c:val>
          <c:extLst>
            <c:ext xmlns:c16="http://schemas.microsoft.com/office/drawing/2014/chart" uri="{C3380CC4-5D6E-409C-BE32-E72D297353CC}">
              <c16:uniqueId val="{00000000-6EA5-4C04-8AED-2383E16E7778}"/>
            </c:ext>
          </c:extLst>
        </c:ser>
        <c:dLbls>
          <c:showLegendKey val="0"/>
          <c:showVal val="0"/>
          <c:showCatName val="0"/>
          <c:showSerName val="0"/>
          <c:showPercent val="0"/>
          <c:showBubbleSize val="0"/>
        </c:dLbls>
        <c:gapWidth val="150"/>
        <c:shape val="box"/>
        <c:axId val="162285440"/>
        <c:axId val="162286976"/>
        <c:axId val="0"/>
      </c:bar3DChart>
      <c:catAx>
        <c:axId val="162285440"/>
        <c:scaling>
          <c:orientation val="minMax"/>
        </c:scaling>
        <c:delete val="0"/>
        <c:axPos val="b"/>
        <c:numFmt formatCode="General" sourceLinked="0"/>
        <c:majorTickMark val="out"/>
        <c:minorTickMark val="none"/>
        <c:tickLblPos val="nextTo"/>
        <c:crossAx val="162286976"/>
        <c:crosses val="autoZero"/>
        <c:auto val="1"/>
        <c:lblAlgn val="ctr"/>
        <c:lblOffset val="100"/>
        <c:noMultiLvlLbl val="0"/>
      </c:catAx>
      <c:valAx>
        <c:axId val="162286976"/>
        <c:scaling>
          <c:orientation val="minMax"/>
        </c:scaling>
        <c:delete val="0"/>
        <c:axPos val="l"/>
        <c:majorGridlines/>
        <c:numFmt formatCode="General" sourceLinked="1"/>
        <c:majorTickMark val="out"/>
        <c:minorTickMark val="none"/>
        <c:tickLblPos val="nextTo"/>
        <c:crossAx val="162285440"/>
        <c:crosses val="autoZero"/>
        <c:crossBetween val="between"/>
      </c:valAx>
    </c:plotArea>
    <c:plotVisOnly val="1"/>
    <c:dispBlanksAs val="gap"/>
    <c:showDLblsOverMax val="0"/>
  </c:chart>
  <c:printSettings>
    <c:headerFooter/>
    <c:pageMargins b="0.75000000000000666" l="0.70000000000000062" r="0.70000000000000062" t="0.750000000000006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390525</xdr:colOff>
      <xdr:row>5</xdr:row>
      <xdr:rowOff>152400</xdr:rowOff>
    </xdr:from>
    <xdr:to>
      <xdr:col>14</xdr:col>
      <xdr:colOff>85725</xdr:colOff>
      <xdr:row>20</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56"/>
  <sheetViews>
    <sheetView topLeftCell="A8" zoomScale="80" zoomScaleNormal="80" workbookViewId="0">
      <selection activeCell="H12" sqref="H12:H25"/>
    </sheetView>
  </sheetViews>
  <sheetFormatPr defaultRowHeight="15" x14ac:dyDescent="0.25"/>
  <cols>
    <col min="1" max="1" width="4.28515625" customWidth="1"/>
    <col min="2" max="2" width="16.140625" customWidth="1"/>
    <col min="3" max="3" width="10.28515625" style="34" bestFit="1" customWidth="1"/>
    <col min="4" max="4" width="9.140625" style="4"/>
    <col min="5" max="5" width="9.28515625" customWidth="1"/>
    <col min="6" max="6" width="11.140625" customWidth="1"/>
    <col min="7" max="7" width="11.28515625" customWidth="1"/>
    <col min="8" max="8" width="9.140625" style="4"/>
    <col min="9" max="9" width="9.42578125" customWidth="1"/>
    <col min="10" max="10" width="8.5703125" customWidth="1"/>
    <col min="11" max="11" width="14.7109375" bestFit="1" customWidth="1"/>
    <col min="12" max="12" width="16.5703125" style="4" customWidth="1"/>
    <col min="13" max="13" width="18.7109375" style="4" customWidth="1"/>
    <col min="17" max="17" width="11.140625" style="4" bestFit="1" customWidth="1"/>
  </cols>
  <sheetData>
    <row r="1" spans="1:17" ht="18.75" x14ac:dyDescent="0.3">
      <c r="A1" s="234" t="s">
        <v>39</v>
      </c>
      <c r="B1" s="234"/>
      <c r="C1" s="234"/>
      <c r="D1" s="234"/>
      <c r="E1" s="234"/>
      <c r="F1" s="234"/>
      <c r="G1" s="234"/>
      <c r="H1" s="234"/>
      <c r="I1" s="234"/>
      <c r="J1" s="234"/>
    </row>
    <row r="2" spans="1:17" x14ac:dyDescent="0.25">
      <c r="A2" s="1" t="s">
        <v>0</v>
      </c>
      <c r="B2" s="1"/>
      <c r="C2" s="2"/>
      <c r="D2" s="3"/>
      <c r="E2" s="1"/>
      <c r="F2" s="1"/>
      <c r="G2" s="1" t="s">
        <v>1</v>
      </c>
      <c r="H2" s="3"/>
      <c r="I2" s="1"/>
      <c r="J2" s="1"/>
    </row>
    <row r="3" spans="1:17" x14ac:dyDescent="0.25">
      <c r="A3" s="35" t="s">
        <v>58</v>
      </c>
      <c r="B3" s="1"/>
      <c r="C3" s="2"/>
      <c r="D3" s="3"/>
      <c r="E3" s="1"/>
      <c r="F3" s="1"/>
      <c r="G3" s="1" t="s">
        <v>2</v>
      </c>
      <c r="H3" s="3"/>
      <c r="I3" s="1"/>
      <c r="J3" s="1"/>
    </row>
    <row r="4" spans="1:17" x14ac:dyDescent="0.25">
      <c r="A4" s="1"/>
      <c r="B4" s="1"/>
      <c r="C4" s="2"/>
      <c r="D4" s="3"/>
      <c r="E4" s="1"/>
      <c r="F4" s="1"/>
      <c r="G4" s="1"/>
      <c r="H4" s="3"/>
      <c r="I4" s="1"/>
      <c r="J4" s="1"/>
    </row>
    <row r="6" spans="1:17" ht="16.5" x14ac:dyDescent="0.25">
      <c r="A6" s="237" t="s">
        <v>3</v>
      </c>
      <c r="B6" s="237"/>
      <c r="C6" s="237"/>
      <c r="D6" s="237"/>
      <c r="E6" s="237"/>
      <c r="F6" s="237"/>
      <c r="G6" s="237"/>
      <c r="H6" s="237"/>
      <c r="I6" s="237"/>
      <c r="J6" s="237"/>
    </row>
    <row r="7" spans="1:17" ht="16.5" x14ac:dyDescent="0.25">
      <c r="A7" s="237" t="s">
        <v>59</v>
      </c>
      <c r="B7" s="237"/>
      <c r="C7" s="237"/>
      <c r="D7" s="237"/>
      <c r="E7" s="237"/>
      <c r="F7" s="237"/>
      <c r="G7" s="237"/>
      <c r="H7" s="237"/>
      <c r="I7" s="237"/>
      <c r="J7" s="237"/>
    </row>
    <row r="9" spans="1:17" x14ac:dyDescent="0.25">
      <c r="A9" s="238" t="s">
        <v>4</v>
      </c>
      <c r="B9" s="238" t="s">
        <v>5</v>
      </c>
      <c r="C9" s="238" t="s">
        <v>6</v>
      </c>
      <c r="D9" s="239" t="s">
        <v>7</v>
      </c>
      <c r="E9" s="238" t="s">
        <v>8</v>
      </c>
      <c r="F9" s="238"/>
      <c r="G9" s="238"/>
      <c r="H9" s="238"/>
      <c r="I9" s="238"/>
      <c r="J9" s="238"/>
      <c r="K9" s="5"/>
      <c r="L9" s="6"/>
    </row>
    <row r="10" spans="1:17" ht="85.5" x14ac:dyDescent="0.25">
      <c r="A10" s="238"/>
      <c r="B10" s="238"/>
      <c r="C10" s="238"/>
      <c r="D10" s="239"/>
      <c r="E10" s="7" t="s">
        <v>9</v>
      </c>
      <c r="F10" s="7" t="s">
        <v>10</v>
      </c>
      <c r="G10" s="7" t="s">
        <v>11</v>
      </c>
      <c r="H10" s="8" t="s">
        <v>12</v>
      </c>
      <c r="I10" s="7" t="s">
        <v>13</v>
      </c>
      <c r="J10" s="7" t="s">
        <v>14</v>
      </c>
      <c r="K10" s="5"/>
      <c r="L10" s="6"/>
    </row>
    <row r="11" spans="1:17" x14ac:dyDescent="0.25">
      <c r="A11" s="7" t="s">
        <v>15</v>
      </c>
      <c r="B11" s="7" t="s">
        <v>16</v>
      </c>
      <c r="C11" s="7" t="s">
        <v>17</v>
      </c>
      <c r="D11" s="8">
        <v>1</v>
      </c>
      <c r="E11" s="7">
        <v>2</v>
      </c>
      <c r="F11" s="7">
        <v>3</v>
      </c>
      <c r="G11" s="7">
        <v>4</v>
      </c>
      <c r="H11" s="8">
        <v>5</v>
      </c>
      <c r="I11" s="7" t="s">
        <v>18</v>
      </c>
      <c r="J11" s="7" t="s">
        <v>19</v>
      </c>
      <c r="K11" s="5"/>
      <c r="L11" s="6"/>
    </row>
    <row r="12" spans="1:17" s="13" customFormat="1" x14ac:dyDescent="0.25">
      <c r="A12" s="9"/>
      <c r="B12" s="9" t="s">
        <v>20</v>
      </c>
      <c r="C12" s="10" t="s">
        <v>21</v>
      </c>
      <c r="D12" s="101">
        <v>925705</v>
      </c>
      <c r="E12" s="97">
        <f>E13+E14+E15+E16</f>
        <v>0</v>
      </c>
      <c r="F12" s="11">
        <f>F13+F14+F15+F16</f>
        <v>72752</v>
      </c>
      <c r="G12" s="11">
        <f>G13+G14+G15+G16</f>
        <v>72752</v>
      </c>
      <c r="H12" s="11">
        <f>H13+H14+H15+H16</f>
        <v>68716</v>
      </c>
      <c r="I12" s="12">
        <f>G12/H12</f>
        <v>1.0587345014261598</v>
      </c>
      <c r="J12" s="12">
        <f>G12/D12</f>
        <v>7.8590911791553461E-2</v>
      </c>
      <c r="K12" s="83"/>
      <c r="L12" s="96"/>
      <c r="M12" s="14"/>
      <c r="Q12" s="14"/>
    </row>
    <row r="13" spans="1:17" x14ac:dyDescent="0.25">
      <c r="A13" s="15"/>
      <c r="B13" s="15" t="s">
        <v>22</v>
      </c>
      <c r="C13" s="16" t="s">
        <v>21</v>
      </c>
      <c r="D13" s="101"/>
      <c r="E13" s="98">
        <f>E20+E27+E31</f>
        <v>0</v>
      </c>
      <c r="F13" s="17">
        <f>F20+F27+F31</f>
        <v>17509</v>
      </c>
      <c r="G13" s="17">
        <f>G20+G27+G31</f>
        <v>17509</v>
      </c>
      <c r="H13" s="17">
        <f>H20+H27+H31</f>
        <v>17382</v>
      </c>
      <c r="I13" s="12">
        <f t="shared" ref="I13:I15" si="0">G13/H13</f>
        <v>1.0073064089287769</v>
      </c>
      <c r="J13" s="12"/>
      <c r="K13" s="83"/>
      <c r="L13" s="96"/>
    </row>
    <row r="14" spans="1:17" x14ac:dyDescent="0.25">
      <c r="A14" s="15"/>
      <c r="B14" s="15" t="s">
        <v>23</v>
      </c>
      <c r="C14" s="16" t="s">
        <v>21</v>
      </c>
      <c r="D14" s="101"/>
      <c r="E14" s="98">
        <f>E22+E28+E32</f>
        <v>0</v>
      </c>
      <c r="F14" s="17">
        <f>F22+F28+F32</f>
        <v>22241</v>
      </c>
      <c r="G14" s="17">
        <f>G22+G28+G32</f>
        <v>22241</v>
      </c>
      <c r="H14" s="17">
        <f>H22+H28+H32</f>
        <v>20933</v>
      </c>
      <c r="I14" s="12">
        <f t="shared" si="0"/>
        <v>1.0624850714183347</v>
      </c>
      <c r="J14" s="12"/>
      <c r="K14" s="83"/>
      <c r="L14" s="96"/>
    </row>
    <row r="15" spans="1:17" x14ac:dyDescent="0.25">
      <c r="A15" s="15"/>
      <c r="B15" s="15" t="s">
        <v>24</v>
      </c>
      <c r="C15" s="16" t="s">
        <v>21</v>
      </c>
      <c r="D15" s="101"/>
      <c r="E15" s="98">
        <f>E24+E29+E33</f>
        <v>0</v>
      </c>
      <c r="F15" s="17">
        <f>F24+F29+F33</f>
        <v>32663</v>
      </c>
      <c r="G15" s="17">
        <f>G24+G29+G33</f>
        <v>32663</v>
      </c>
      <c r="H15" s="17">
        <f>H24+H29+H33</f>
        <v>30126</v>
      </c>
      <c r="I15" s="12">
        <f t="shared" si="0"/>
        <v>1.0842129721834959</v>
      </c>
      <c r="J15" s="12"/>
      <c r="K15" s="83"/>
      <c r="L15" s="96"/>
    </row>
    <row r="16" spans="1:17" x14ac:dyDescent="0.25">
      <c r="A16" s="15"/>
      <c r="B16" s="42" t="s">
        <v>43</v>
      </c>
      <c r="C16" s="16" t="s">
        <v>21</v>
      </c>
      <c r="D16" s="101"/>
      <c r="E16" s="98">
        <f>E34</f>
        <v>0</v>
      </c>
      <c r="F16" s="17">
        <v>339</v>
      </c>
      <c r="G16" s="17">
        <f>F16+E16</f>
        <v>339</v>
      </c>
      <c r="H16" s="17">
        <v>275</v>
      </c>
      <c r="I16" s="12"/>
      <c r="J16" s="12"/>
      <c r="K16" s="83"/>
      <c r="L16" s="96"/>
    </row>
    <row r="17" spans="1:17" x14ac:dyDescent="0.25">
      <c r="A17" s="15"/>
      <c r="B17" s="15" t="s">
        <v>26</v>
      </c>
      <c r="C17" s="16"/>
      <c r="D17" s="102" t="s">
        <v>52</v>
      </c>
      <c r="E17" s="17"/>
      <c r="F17" s="17">
        <v>0</v>
      </c>
      <c r="G17" s="17"/>
      <c r="H17" s="17"/>
      <c r="I17" s="12"/>
      <c r="J17" s="12"/>
      <c r="K17" s="83"/>
      <c r="L17" s="19"/>
    </row>
    <row r="18" spans="1:17" s="24" customFormat="1" x14ac:dyDescent="0.25">
      <c r="A18" s="20">
        <v>1</v>
      </c>
      <c r="B18" s="20" t="s">
        <v>27</v>
      </c>
      <c r="C18" s="21" t="s">
        <v>21</v>
      </c>
      <c r="D18" s="101">
        <v>314571</v>
      </c>
      <c r="E18" s="99">
        <f>E20+E22+E24</f>
        <v>0</v>
      </c>
      <c r="F18" s="114">
        <f>F20+F22+F24</f>
        <v>25640</v>
      </c>
      <c r="G18" s="22">
        <f t="shared" ref="G18" si="1">G20+G22+G24</f>
        <v>25640</v>
      </c>
      <c r="H18" s="22">
        <f>H20+H22+H24</f>
        <v>23895</v>
      </c>
      <c r="I18" s="23">
        <f>G18/H18</f>
        <v>1.0730278300899769</v>
      </c>
      <c r="J18" s="23"/>
      <c r="K18" s="83"/>
      <c r="L18" s="25"/>
      <c r="M18" s="103"/>
      <c r="Q18" s="4"/>
    </row>
    <row r="19" spans="1:17" ht="15.75" customHeight="1" x14ac:dyDescent="0.25">
      <c r="A19" s="20"/>
      <c r="B19" s="20"/>
      <c r="C19" s="21" t="s">
        <v>28</v>
      </c>
      <c r="D19" s="101">
        <v>32020</v>
      </c>
      <c r="E19" s="99">
        <f t="shared" ref="E19" si="2">E21+E23+E25</f>
        <v>0</v>
      </c>
      <c r="F19" s="114">
        <f>F21+F23+F25</f>
        <v>2689</v>
      </c>
      <c r="G19" s="22">
        <f t="shared" ref="G19" si="3">G21+G23+G25</f>
        <v>2689</v>
      </c>
      <c r="H19" s="22">
        <f>H21+H23+H25</f>
        <v>2457</v>
      </c>
      <c r="I19" s="23">
        <f>G19/H19</f>
        <v>1.0944240944240944</v>
      </c>
      <c r="J19" s="12">
        <f>G19/D19</f>
        <v>8.3978763272954407E-2</v>
      </c>
      <c r="K19" s="83"/>
      <c r="L19" s="25"/>
      <c r="M19" s="103"/>
    </row>
    <row r="20" spans="1:17" ht="15.75" customHeight="1" x14ac:dyDescent="0.25">
      <c r="A20" s="15"/>
      <c r="B20" s="15" t="s">
        <v>29</v>
      </c>
      <c r="C20" s="16" t="s">
        <v>30</v>
      </c>
      <c r="D20" s="101"/>
      <c r="E20" s="100">
        <v>0</v>
      </c>
      <c r="F20" s="176">
        <v>8396</v>
      </c>
      <c r="G20" s="114">
        <f>E20+F20</f>
        <v>8396</v>
      </c>
      <c r="H20" s="27">
        <v>8214</v>
      </c>
      <c r="I20" s="23"/>
      <c r="J20" s="12"/>
      <c r="K20" s="83"/>
      <c r="L20" s="25"/>
      <c r="M20" s="103"/>
    </row>
    <row r="21" spans="1:17" ht="15.75" customHeight="1" x14ac:dyDescent="0.25">
      <c r="A21" s="15"/>
      <c r="B21" s="15"/>
      <c r="C21" s="16" t="s">
        <v>28</v>
      </c>
      <c r="D21" s="101"/>
      <c r="E21" s="100">
        <v>0</v>
      </c>
      <c r="F21" s="177">
        <v>830</v>
      </c>
      <c r="G21" s="114">
        <f t="shared" ref="G21:G25" si="4">E21+F21</f>
        <v>830</v>
      </c>
      <c r="H21" s="27">
        <v>802</v>
      </c>
      <c r="I21" s="23"/>
      <c r="J21" s="12"/>
      <c r="K21" s="83"/>
      <c r="L21" s="25"/>
      <c r="M21" s="103"/>
    </row>
    <row r="22" spans="1:17" x14ac:dyDescent="0.25">
      <c r="A22" s="15"/>
      <c r="B22" s="15" t="s">
        <v>31</v>
      </c>
      <c r="C22" s="16" t="s">
        <v>30</v>
      </c>
      <c r="D22" s="101"/>
      <c r="E22" s="100">
        <v>0</v>
      </c>
      <c r="F22" s="176">
        <v>8899</v>
      </c>
      <c r="G22" s="114">
        <f t="shared" si="4"/>
        <v>8899</v>
      </c>
      <c r="H22" s="27">
        <v>7883</v>
      </c>
      <c r="I22" s="23"/>
      <c r="J22" s="12"/>
      <c r="K22" s="83"/>
      <c r="L22" s="25"/>
      <c r="M22" s="103"/>
      <c r="N22" s="13"/>
      <c r="O22" s="13"/>
      <c r="P22" s="13"/>
      <c r="Q22" s="14"/>
    </row>
    <row r="23" spans="1:17" x14ac:dyDescent="0.25">
      <c r="A23" s="15"/>
      <c r="B23" s="15"/>
      <c r="C23" s="16" t="s">
        <v>28</v>
      </c>
      <c r="D23" s="101"/>
      <c r="E23" s="100">
        <v>0</v>
      </c>
      <c r="F23" s="177">
        <v>901</v>
      </c>
      <c r="G23" s="114">
        <f t="shared" si="4"/>
        <v>901</v>
      </c>
      <c r="H23" s="27">
        <v>759</v>
      </c>
      <c r="I23" s="23"/>
      <c r="J23" s="12"/>
      <c r="K23" s="83"/>
      <c r="L23" s="25"/>
      <c r="M23" s="103"/>
    </row>
    <row r="24" spans="1:17" x14ac:dyDescent="0.25">
      <c r="A24" s="15"/>
      <c r="B24" s="15" t="s">
        <v>32</v>
      </c>
      <c r="C24" s="16" t="s">
        <v>30</v>
      </c>
      <c r="D24" s="101"/>
      <c r="E24" s="100">
        <v>0</v>
      </c>
      <c r="F24" s="176">
        <v>8345</v>
      </c>
      <c r="G24" s="114">
        <f t="shared" si="4"/>
        <v>8345</v>
      </c>
      <c r="H24" s="27">
        <v>7798</v>
      </c>
      <c r="I24" s="23"/>
      <c r="J24" s="12"/>
      <c r="K24" s="83"/>
      <c r="L24" s="25"/>
      <c r="M24" s="103"/>
    </row>
    <row r="25" spans="1:17" x14ac:dyDescent="0.25">
      <c r="A25" s="15"/>
      <c r="B25" s="15"/>
      <c r="C25" s="16" t="s">
        <v>28</v>
      </c>
      <c r="D25" s="101"/>
      <c r="E25" s="100">
        <v>0</v>
      </c>
      <c r="F25" s="177">
        <v>958</v>
      </c>
      <c r="G25" s="114">
        <f t="shared" si="4"/>
        <v>958</v>
      </c>
      <c r="H25" s="27">
        <v>896</v>
      </c>
      <c r="I25" s="23"/>
      <c r="J25" s="12"/>
      <c r="K25" s="83"/>
      <c r="L25" s="25"/>
      <c r="M25" s="103"/>
    </row>
    <row r="26" spans="1:17" s="24" customFormat="1" x14ac:dyDescent="0.25">
      <c r="A26" s="20">
        <v>2</v>
      </c>
      <c r="B26" s="20" t="s">
        <v>33</v>
      </c>
      <c r="C26" s="21" t="s">
        <v>21</v>
      </c>
      <c r="D26" s="101">
        <v>88897</v>
      </c>
      <c r="E26" s="99">
        <f>E27+E28+E29</f>
        <v>0</v>
      </c>
      <c r="F26" s="22">
        <f>F27+F28+F29</f>
        <v>6973</v>
      </c>
      <c r="G26" s="22">
        <f>G27+G28+G29</f>
        <v>6973</v>
      </c>
      <c r="H26" s="22">
        <f>H27+H28+H29</f>
        <v>7223</v>
      </c>
      <c r="I26" s="23">
        <f>G26/H26</f>
        <v>0.96538834279385299</v>
      </c>
      <c r="J26" s="23">
        <f>G26/D26</f>
        <v>7.8439092432815508E-2</v>
      </c>
      <c r="K26" s="83"/>
      <c r="L26" s="25"/>
      <c r="M26" s="26"/>
      <c r="Q26" s="26"/>
    </row>
    <row r="27" spans="1:17" x14ac:dyDescent="0.25">
      <c r="A27" s="15"/>
      <c r="B27" s="15" t="s">
        <v>29</v>
      </c>
      <c r="C27" s="16" t="s">
        <v>21</v>
      </c>
      <c r="D27" s="101"/>
      <c r="E27" s="100">
        <v>0</v>
      </c>
      <c r="F27" s="27">
        <v>341</v>
      </c>
      <c r="G27" s="27">
        <f>F27+E27</f>
        <v>341</v>
      </c>
      <c r="H27" s="27">
        <v>383</v>
      </c>
      <c r="I27" s="23"/>
      <c r="J27" s="12"/>
      <c r="K27" s="83"/>
      <c r="L27" s="25"/>
    </row>
    <row r="28" spans="1:17" x14ac:dyDescent="0.25">
      <c r="A28" s="15"/>
      <c r="B28" s="15" t="s">
        <v>34</v>
      </c>
      <c r="C28" s="16" t="s">
        <v>21</v>
      </c>
      <c r="D28" s="101"/>
      <c r="E28" s="100">
        <v>0</v>
      </c>
      <c r="F28" s="27">
        <v>2457</v>
      </c>
      <c r="G28" s="27">
        <f t="shared" ref="G28:G29" si="5">F28+E28</f>
        <v>2457</v>
      </c>
      <c r="H28" s="27">
        <v>2698</v>
      </c>
      <c r="I28" s="23"/>
      <c r="J28" s="12"/>
      <c r="K28" s="83"/>
      <c r="L28" s="25"/>
    </row>
    <row r="29" spans="1:17" ht="15.75" customHeight="1" x14ac:dyDescent="0.25">
      <c r="A29" s="15"/>
      <c r="B29" s="15" t="s">
        <v>32</v>
      </c>
      <c r="C29" s="16" t="s">
        <v>21</v>
      </c>
      <c r="D29" s="101"/>
      <c r="E29" s="100">
        <v>0</v>
      </c>
      <c r="F29" s="27">
        <v>4175</v>
      </c>
      <c r="G29" s="27">
        <f t="shared" si="5"/>
        <v>4175</v>
      </c>
      <c r="H29" s="27">
        <v>4142</v>
      </c>
      <c r="I29" s="23"/>
      <c r="J29" s="12"/>
      <c r="K29" s="83"/>
      <c r="L29" s="25"/>
    </row>
    <row r="30" spans="1:17" s="24" customFormat="1" x14ac:dyDescent="0.25">
      <c r="A30" s="20">
        <v>3</v>
      </c>
      <c r="B30" s="20" t="s">
        <v>35</v>
      </c>
      <c r="C30" s="21" t="s">
        <v>21</v>
      </c>
      <c r="D30" s="101">
        <v>517053</v>
      </c>
      <c r="E30" s="99">
        <f>E31+E32+E33</f>
        <v>0</v>
      </c>
      <c r="F30" s="22">
        <f>F31+F32+F33</f>
        <v>39800</v>
      </c>
      <c r="G30" s="22">
        <f>G31+G32+G33</f>
        <v>39800</v>
      </c>
      <c r="H30" s="22">
        <f>H31+H32+H33</f>
        <v>37323</v>
      </c>
      <c r="I30" s="23">
        <f t="shared" ref="I30" si="6">G30/H30</f>
        <v>1.066366583607963</v>
      </c>
      <c r="J30" s="23">
        <f>G30/D30</f>
        <v>7.6974700852717223E-2</v>
      </c>
      <c r="K30" s="83"/>
      <c r="L30" s="25"/>
      <c r="M30" s="26"/>
      <c r="Q30" s="26"/>
    </row>
    <row r="31" spans="1:17" x14ac:dyDescent="0.25">
      <c r="A31" s="15"/>
      <c r="B31" s="15" t="s">
        <v>29</v>
      </c>
      <c r="C31" s="16" t="s">
        <v>21</v>
      </c>
      <c r="D31" s="101"/>
      <c r="E31" s="100">
        <v>0</v>
      </c>
      <c r="F31" s="27">
        <v>8772</v>
      </c>
      <c r="G31" s="27">
        <f>E31+F31</f>
        <v>8772</v>
      </c>
      <c r="H31" s="27">
        <v>8785</v>
      </c>
      <c r="I31" s="23"/>
      <c r="J31" s="12"/>
      <c r="K31" s="83"/>
      <c r="L31" s="25"/>
    </row>
    <row r="32" spans="1:17" x14ac:dyDescent="0.25">
      <c r="A32" s="15"/>
      <c r="B32" s="15" t="s">
        <v>34</v>
      </c>
      <c r="C32" s="16" t="s">
        <v>21</v>
      </c>
      <c r="D32" s="101"/>
      <c r="E32" s="100">
        <v>0</v>
      </c>
      <c r="F32" s="27">
        <v>10885</v>
      </c>
      <c r="G32" s="27">
        <f t="shared" ref="G32:G33" si="7">E32+F32</f>
        <v>10885</v>
      </c>
      <c r="H32" s="27">
        <v>10352</v>
      </c>
      <c r="I32" s="23"/>
      <c r="J32" s="12"/>
      <c r="K32" s="83"/>
      <c r="L32" s="25"/>
    </row>
    <row r="33" spans="1:17" ht="15.75" customHeight="1" x14ac:dyDescent="0.25">
      <c r="A33" s="15"/>
      <c r="B33" s="15" t="s">
        <v>32</v>
      </c>
      <c r="C33" s="16" t="s">
        <v>21</v>
      </c>
      <c r="D33" s="101"/>
      <c r="E33" s="100">
        <v>0</v>
      </c>
      <c r="F33" s="27">
        <v>20143</v>
      </c>
      <c r="G33" s="27">
        <f t="shared" si="7"/>
        <v>20143</v>
      </c>
      <c r="H33" s="27">
        <v>18186</v>
      </c>
      <c r="I33" s="23"/>
      <c r="J33" s="12"/>
      <c r="K33" s="83"/>
      <c r="L33" s="25"/>
    </row>
    <row r="34" spans="1:17" s="24" customFormat="1" x14ac:dyDescent="0.25">
      <c r="A34" s="20">
        <v>4</v>
      </c>
      <c r="B34" s="20" t="s">
        <v>25</v>
      </c>
      <c r="C34" s="21" t="s">
        <v>21</v>
      </c>
      <c r="D34" s="101">
        <v>89834</v>
      </c>
      <c r="E34" s="26">
        <v>0</v>
      </c>
      <c r="F34" s="28">
        <v>7504</v>
      </c>
      <c r="G34" s="27">
        <f>E34+F34</f>
        <v>7504</v>
      </c>
      <c r="H34" s="26">
        <v>7615</v>
      </c>
      <c r="I34" s="23">
        <f t="shared" ref="I34" si="8">G34/H34</f>
        <v>0.98542350623768882</v>
      </c>
      <c r="J34" s="23">
        <f>G34/D34</f>
        <v>8.353184763007325E-2</v>
      </c>
      <c r="K34" s="83"/>
      <c r="L34" s="25"/>
      <c r="M34" s="4"/>
      <c r="Q34" s="26"/>
    </row>
    <row r="35" spans="1:17" x14ac:dyDescent="0.25">
      <c r="A35" s="15"/>
      <c r="B35" s="15"/>
      <c r="C35" s="16"/>
      <c r="D35" s="17"/>
      <c r="E35" s="15"/>
      <c r="F35" s="15"/>
      <c r="G35" s="15"/>
      <c r="H35" s="17"/>
      <c r="I35" s="29"/>
      <c r="J35" s="29"/>
      <c r="K35" s="83"/>
      <c r="L35" s="25"/>
    </row>
    <row r="36" spans="1:17" x14ac:dyDescent="0.25">
      <c r="A36" s="30"/>
      <c r="B36" s="30"/>
      <c r="C36" s="31"/>
      <c r="D36" s="32"/>
      <c r="E36" s="30"/>
      <c r="F36" s="30"/>
      <c r="G36" s="30"/>
      <c r="H36" s="32"/>
      <c r="I36" s="30"/>
      <c r="J36" s="30"/>
    </row>
    <row r="37" spans="1:17" ht="16.5" customHeight="1" x14ac:dyDescent="0.25">
      <c r="A37" s="240" t="s">
        <v>47</v>
      </c>
      <c r="B37" s="240"/>
      <c r="C37" s="240"/>
      <c r="D37" s="240"/>
      <c r="E37" s="240"/>
      <c r="F37" s="240"/>
      <c r="G37" s="240"/>
      <c r="H37" s="240"/>
      <c r="I37" s="240"/>
      <c r="J37" s="240"/>
    </row>
    <row r="38" spans="1:17" ht="16.5" customHeight="1" x14ac:dyDescent="0.25">
      <c r="A38" s="33"/>
      <c r="B38" s="33"/>
      <c r="C38" s="31"/>
      <c r="D38" s="32"/>
      <c r="E38" s="30"/>
      <c r="F38" s="30"/>
      <c r="G38" s="30"/>
      <c r="H38" s="32"/>
      <c r="I38" s="30"/>
      <c r="J38" s="30"/>
    </row>
    <row r="39" spans="1:17" ht="15.75" x14ac:dyDescent="0.25">
      <c r="A39" s="33"/>
      <c r="B39" s="33"/>
      <c r="C39" s="31"/>
      <c r="D39" s="32"/>
      <c r="E39" s="30"/>
      <c r="F39" s="30"/>
      <c r="G39" s="30"/>
      <c r="H39" s="32"/>
      <c r="I39" s="30"/>
      <c r="J39" s="30"/>
    </row>
    <row r="40" spans="1:17" ht="15.75" x14ac:dyDescent="0.25">
      <c r="A40" s="33"/>
      <c r="B40" s="33"/>
      <c r="C40" s="31"/>
      <c r="D40" s="32"/>
      <c r="E40" s="30"/>
      <c r="F40" s="30"/>
      <c r="G40" s="30"/>
      <c r="H40" s="32"/>
      <c r="I40" s="30"/>
      <c r="J40" s="30"/>
    </row>
    <row r="41" spans="1:17" ht="15.75" x14ac:dyDescent="0.25">
      <c r="A41" s="33"/>
      <c r="B41" s="33"/>
      <c r="C41" s="31"/>
      <c r="D41" s="32"/>
      <c r="E41" s="30"/>
      <c r="F41" s="30"/>
      <c r="G41" s="30"/>
      <c r="H41" s="32"/>
      <c r="I41" s="30"/>
      <c r="J41" s="30"/>
    </row>
    <row r="42" spans="1:17" ht="15.75" x14ac:dyDescent="0.25">
      <c r="A42" s="33"/>
      <c r="B42" s="33"/>
      <c r="C42" s="31"/>
      <c r="D42" s="32"/>
      <c r="E42" s="30"/>
      <c r="F42" s="30"/>
      <c r="G42" s="30"/>
      <c r="H42" s="32"/>
      <c r="I42" s="30"/>
      <c r="J42" s="30"/>
    </row>
    <row r="43" spans="1:17" ht="15.75" x14ac:dyDescent="0.25">
      <c r="A43" s="235"/>
      <c r="B43" s="235"/>
      <c r="C43" s="31"/>
      <c r="D43" s="32"/>
      <c r="E43" s="30"/>
      <c r="F43" s="30"/>
      <c r="G43" s="30"/>
      <c r="H43" s="32"/>
      <c r="I43" s="30"/>
      <c r="J43" s="30"/>
    </row>
    <row r="44" spans="1:17" ht="15.75" x14ac:dyDescent="0.25">
      <c r="A44" s="236"/>
      <c r="B44" s="236"/>
      <c r="C44" s="31"/>
      <c r="D44" s="32"/>
      <c r="E44" s="30"/>
      <c r="F44" s="30"/>
      <c r="G44" s="30"/>
      <c r="H44" s="32"/>
      <c r="I44" s="30"/>
      <c r="J44" s="30"/>
    </row>
    <row r="45" spans="1:17" x14ac:dyDescent="0.25">
      <c r="A45" s="30"/>
      <c r="B45" s="30"/>
      <c r="C45" s="31"/>
      <c r="D45" s="32"/>
      <c r="E45" s="30"/>
      <c r="F45" s="30"/>
      <c r="G45" s="30"/>
      <c r="H45" s="32"/>
      <c r="I45" s="30"/>
      <c r="J45" s="30"/>
    </row>
    <row r="46" spans="1:17" x14ac:dyDescent="0.25">
      <c r="A46" s="30"/>
      <c r="B46" s="30"/>
      <c r="C46" s="31"/>
      <c r="D46" s="32"/>
      <c r="E46" s="30"/>
      <c r="F46" s="30"/>
      <c r="G46" s="30"/>
      <c r="H46" s="32"/>
      <c r="I46" s="30"/>
      <c r="J46" s="30"/>
    </row>
    <row r="47" spans="1:17" x14ac:dyDescent="0.25">
      <c r="A47" s="30"/>
      <c r="B47" s="30"/>
      <c r="C47" s="31"/>
      <c r="D47" s="32"/>
      <c r="E47" s="30"/>
      <c r="F47" s="30"/>
      <c r="G47" s="30"/>
      <c r="H47" s="32"/>
      <c r="I47" s="30"/>
      <c r="J47" s="30"/>
    </row>
    <row r="48" spans="1:17" x14ac:dyDescent="0.25">
      <c r="A48" s="30"/>
      <c r="B48" s="30"/>
      <c r="C48" s="31"/>
      <c r="D48" s="32"/>
      <c r="E48" s="30"/>
      <c r="F48" s="30"/>
      <c r="G48" s="30"/>
      <c r="H48" s="32"/>
      <c r="I48" s="30"/>
      <c r="J48" s="30"/>
    </row>
    <row r="49" spans="1:10" x14ac:dyDescent="0.25">
      <c r="A49" s="30"/>
      <c r="B49" s="30"/>
      <c r="C49" s="31"/>
      <c r="D49" s="32"/>
      <c r="E49" s="30"/>
      <c r="F49" s="30"/>
      <c r="G49" s="30"/>
      <c r="H49" s="32"/>
      <c r="I49" s="30"/>
      <c r="J49" s="30"/>
    </row>
    <row r="50" spans="1:10" x14ac:dyDescent="0.25">
      <c r="A50" s="30"/>
      <c r="B50" s="30"/>
      <c r="C50" s="31"/>
      <c r="D50" s="32"/>
      <c r="E50" s="30"/>
      <c r="F50" s="30"/>
      <c r="G50" s="30"/>
      <c r="H50" s="32"/>
      <c r="I50" s="30"/>
      <c r="J50" s="30"/>
    </row>
    <row r="51" spans="1:10" x14ac:dyDescent="0.25">
      <c r="A51" s="30"/>
      <c r="B51" s="30"/>
      <c r="C51" s="31"/>
      <c r="D51" s="32"/>
      <c r="E51" s="30"/>
      <c r="F51" s="30"/>
      <c r="G51" s="30"/>
      <c r="H51" s="32"/>
      <c r="I51" s="30"/>
      <c r="J51" s="30"/>
    </row>
    <row r="52" spans="1:10" x14ac:dyDescent="0.25">
      <c r="A52" s="30"/>
      <c r="B52" s="30"/>
      <c r="C52" s="31"/>
      <c r="D52" s="32"/>
      <c r="E52" s="30"/>
      <c r="F52" s="30"/>
      <c r="G52" s="30"/>
      <c r="H52" s="32"/>
      <c r="I52" s="30"/>
      <c r="J52" s="30"/>
    </row>
    <row r="53" spans="1:10" x14ac:dyDescent="0.25">
      <c r="A53" s="30"/>
      <c r="B53" s="30"/>
      <c r="C53" s="31"/>
      <c r="D53" s="32"/>
      <c r="E53" s="30"/>
      <c r="F53" s="30"/>
      <c r="G53" s="30"/>
      <c r="H53" s="32"/>
      <c r="I53" s="30"/>
      <c r="J53" s="30"/>
    </row>
    <row r="54" spans="1:10" x14ac:dyDescent="0.25">
      <c r="A54" s="30"/>
      <c r="B54" s="30"/>
      <c r="C54" s="31"/>
      <c r="D54" s="32"/>
      <c r="E54" s="30"/>
      <c r="F54" s="30"/>
      <c r="G54" s="30"/>
      <c r="H54" s="32"/>
      <c r="I54" s="30"/>
      <c r="J54" s="30"/>
    </row>
    <row r="55" spans="1:10" x14ac:dyDescent="0.25">
      <c r="A55" s="30"/>
      <c r="B55" s="30"/>
      <c r="C55" s="31"/>
      <c r="D55" s="32"/>
      <c r="E55" s="30"/>
      <c r="F55" s="30"/>
      <c r="G55" s="30"/>
      <c r="H55" s="32"/>
      <c r="I55" s="30"/>
      <c r="J55" s="30"/>
    </row>
    <row r="56" spans="1:10" x14ac:dyDescent="0.25">
      <c r="A56" s="30"/>
      <c r="B56" s="30"/>
      <c r="C56" s="31"/>
      <c r="D56" s="32"/>
      <c r="E56" s="30"/>
      <c r="F56" s="30"/>
      <c r="G56" s="30"/>
      <c r="H56" s="32"/>
      <c r="I56" s="30"/>
      <c r="J56" s="30"/>
    </row>
  </sheetData>
  <mergeCells count="11">
    <mergeCell ref="A1:J1"/>
    <mergeCell ref="A43:B43"/>
    <mergeCell ref="A44:B44"/>
    <mergeCell ref="A6:J6"/>
    <mergeCell ref="A7:J7"/>
    <mergeCell ref="A9:A10"/>
    <mergeCell ref="B9:B10"/>
    <mergeCell ref="C9:C10"/>
    <mergeCell ref="D9:D10"/>
    <mergeCell ref="E9:J9"/>
    <mergeCell ref="A37:J37"/>
  </mergeCells>
  <phoneticPr fontId="12" type="noConversion"/>
  <pageMargins left="0.7" right="0.42"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Q56"/>
  <sheetViews>
    <sheetView zoomScale="90" zoomScaleNormal="90" workbookViewId="0">
      <selection activeCell="A2" sqref="A2:J3"/>
    </sheetView>
  </sheetViews>
  <sheetFormatPr defaultRowHeight="15" x14ac:dyDescent="0.25"/>
  <cols>
    <col min="1" max="1" width="4.28515625" style="47" customWidth="1"/>
    <col min="2" max="2" width="16.140625" style="47" customWidth="1"/>
    <col min="3" max="3" width="10.28515625" style="80" bestFit="1" customWidth="1"/>
    <col min="4" max="4" width="11.28515625" style="48" customWidth="1"/>
    <col min="5" max="5" width="8.5703125" style="47" customWidth="1"/>
    <col min="6" max="6" width="8.7109375" style="47" customWidth="1"/>
    <col min="7" max="7" width="9.140625" style="47" customWidth="1"/>
    <col min="8" max="8" width="8.7109375" style="48" customWidth="1"/>
    <col min="9" max="9" width="8.85546875" style="47" customWidth="1"/>
    <col min="10" max="10" width="9.85546875" style="47" customWidth="1"/>
    <col min="11" max="11" width="9.140625" style="47"/>
    <col min="12" max="12" width="16.5703125" style="48" customWidth="1"/>
    <col min="13" max="13" width="18.7109375" style="48" customWidth="1"/>
    <col min="14" max="14" width="9.140625" style="47"/>
    <col min="15" max="15" width="9.7109375" style="47" bestFit="1" customWidth="1"/>
    <col min="16" max="16" width="11" style="47" customWidth="1"/>
    <col min="17" max="17" width="11.140625" style="48" bestFit="1" customWidth="1"/>
    <col min="18" max="16384" width="9.140625" style="47"/>
  </cols>
  <sheetData>
    <row r="1" spans="1:17" ht="18.75" x14ac:dyDescent="0.3">
      <c r="A1" s="242" t="s">
        <v>37</v>
      </c>
      <c r="B1" s="242"/>
      <c r="C1" s="242"/>
      <c r="D1" s="242"/>
      <c r="E1" s="242"/>
      <c r="F1" s="242"/>
      <c r="G1" s="242"/>
      <c r="H1" s="242"/>
      <c r="I1" s="242"/>
      <c r="J1" s="242"/>
    </row>
    <row r="2" spans="1:17" x14ac:dyDescent="0.25">
      <c r="A2" s="49" t="s">
        <v>46</v>
      </c>
      <c r="B2" s="49"/>
      <c r="C2" s="50"/>
      <c r="D2" s="51"/>
      <c r="E2" s="49"/>
      <c r="F2" s="49"/>
      <c r="G2" s="49" t="s">
        <v>83</v>
      </c>
      <c r="H2" s="51"/>
      <c r="I2" s="49"/>
      <c r="J2" s="49"/>
    </row>
    <row r="3" spans="1:17" x14ac:dyDescent="0.25">
      <c r="A3" s="49" t="s">
        <v>86</v>
      </c>
      <c r="B3" s="49"/>
      <c r="C3" s="50"/>
      <c r="D3" s="51"/>
      <c r="E3" s="49"/>
      <c r="F3" s="49"/>
      <c r="G3" s="49" t="s">
        <v>84</v>
      </c>
      <c r="H3" s="51"/>
      <c r="I3" s="49"/>
      <c r="J3" s="49"/>
    </row>
    <row r="4" spans="1:17" x14ac:dyDescent="0.25">
      <c r="A4" s="49"/>
      <c r="B4" s="49"/>
      <c r="C4" s="50"/>
      <c r="D4" s="51"/>
      <c r="E4" s="49"/>
      <c r="F4" s="49"/>
      <c r="G4" s="49"/>
      <c r="H4" s="51"/>
      <c r="I4" s="49"/>
      <c r="J4" s="49"/>
    </row>
    <row r="6" spans="1:17" ht="46.5" customHeight="1" x14ac:dyDescent="0.3">
      <c r="A6" s="259" t="s">
        <v>66</v>
      </c>
      <c r="B6" s="259"/>
      <c r="C6" s="259"/>
      <c r="D6" s="259"/>
      <c r="E6" s="259"/>
      <c r="F6" s="259"/>
      <c r="G6" s="259"/>
      <c r="H6" s="259"/>
      <c r="I6" s="259"/>
      <c r="J6" s="259"/>
    </row>
    <row r="7" spans="1:17" ht="16.5" x14ac:dyDescent="0.25">
      <c r="A7" s="243" t="s">
        <v>85</v>
      </c>
      <c r="B7" s="243"/>
      <c r="C7" s="243"/>
      <c r="D7" s="243"/>
      <c r="E7" s="243"/>
      <c r="F7" s="243"/>
      <c r="G7" s="243"/>
      <c r="H7" s="243"/>
      <c r="I7" s="243"/>
      <c r="J7" s="243"/>
    </row>
    <row r="9" spans="1:17" x14ac:dyDescent="0.25">
      <c r="A9" s="244" t="s">
        <v>4</v>
      </c>
      <c r="B9" s="244" t="s">
        <v>5</v>
      </c>
      <c r="C9" s="244" t="s">
        <v>6</v>
      </c>
      <c r="D9" s="245" t="s">
        <v>7</v>
      </c>
      <c r="E9" s="244" t="s">
        <v>8</v>
      </c>
      <c r="F9" s="244"/>
      <c r="G9" s="244"/>
      <c r="H9" s="244"/>
      <c r="I9" s="244"/>
      <c r="J9" s="244"/>
      <c r="K9" s="52"/>
      <c r="L9" s="84"/>
    </row>
    <row r="10" spans="1:17" ht="85.5" x14ac:dyDescent="0.25">
      <c r="A10" s="244"/>
      <c r="B10" s="244"/>
      <c r="C10" s="244"/>
      <c r="D10" s="245"/>
      <c r="E10" s="53" t="s">
        <v>9</v>
      </c>
      <c r="F10" s="53" t="s">
        <v>10</v>
      </c>
      <c r="G10" s="53" t="s">
        <v>11</v>
      </c>
      <c r="H10" s="54" t="s">
        <v>12</v>
      </c>
      <c r="I10" s="53" t="s">
        <v>13</v>
      </c>
      <c r="J10" s="53" t="s">
        <v>14</v>
      </c>
      <c r="K10" s="52"/>
      <c r="L10" s="84"/>
    </row>
    <row r="11" spans="1:17" ht="18.75" x14ac:dyDescent="0.3">
      <c r="A11" s="53" t="s">
        <v>15</v>
      </c>
      <c r="B11" s="53" t="s">
        <v>16</v>
      </c>
      <c r="C11" s="53" t="s">
        <v>17</v>
      </c>
      <c r="D11" s="54">
        <v>1</v>
      </c>
      <c r="E11" s="53">
        <v>2</v>
      </c>
      <c r="F11" s="53">
        <v>3</v>
      </c>
      <c r="G11" s="53">
        <v>4</v>
      </c>
      <c r="H11" s="54">
        <v>5</v>
      </c>
      <c r="I11" s="53" t="s">
        <v>18</v>
      </c>
      <c r="J11" s="53" t="s">
        <v>19</v>
      </c>
      <c r="K11" s="52"/>
      <c r="L11" s="84"/>
      <c r="O11" s="89"/>
      <c r="P11" s="90"/>
    </row>
    <row r="12" spans="1:17" s="61" customFormat="1" ht="15.75" x14ac:dyDescent="0.25">
      <c r="A12" s="55"/>
      <c r="B12" s="55" t="s">
        <v>20</v>
      </c>
      <c r="C12" s="56" t="s">
        <v>21</v>
      </c>
      <c r="D12" s="58">
        <v>1064879</v>
      </c>
      <c r="E12" s="59">
        <f>E13+E14+E15+E16</f>
        <v>860382</v>
      </c>
      <c r="F12" s="59">
        <f>F13+F14+F15+F16</f>
        <v>97501.915555555563</v>
      </c>
      <c r="G12" s="59">
        <f>G13+G14+G15+G16</f>
        <v>957883.91555555561</v>
      </c>
      <c r="H12" s="59">
        <f>H13+H14+H15+H16</f>
        <v>862806</v>
      </c>
      <c r="I12" s="60">
        <f>G12/H12</f>
        <v>1.1101961687280288</v>
      </c>
      <c r="J12" s="60">
        <f>G12/D12</f>
        <v>0.89952371636172335</v>
      </c>
      <c r="K12" s="59"/>
      <c r="L12" s="86"/>
      <c r="M12" s="148">
        <f>1048/E12</f>
        <v>1.2180636043059943E-3</v>
      </c>
      <c r="Q12" s="57"/>
    </row>
    <row r="13" spans="1:17" ht="15.75" x14ac:dyDescent="0.25">
      <c r="A13" s="62"/>
      <c r="B13" s="62" t="s">
        <v>22</v>
      </c>
      <c r="C13" s="63" t="s">
        <v>21</v>
      </c>
      <c r="D13" s="58"/>
      <c r="E13" s="64">
        <f>E20+E27+E31</f>
        <v>159555</v>
      </c>
      <c r="F13" s="64">
        <f>F20+F27+F31</f>
        <v>18082.900000000001</v>
      </c>
      <c r="G13" s="64">
        <f>G20+G27+G31</f>
        <v>177637.90000000002</v>
      </c>
      <c r="H13" s="64">
        <f>H20+H27+H31</f>
        <v>173584</v>
      </c>
      <c r="I13" s="60">
        <f t="shared" ref="I13:I15" si="0">G13/H13</f>
        <v>1.0233541109779705</v>
      </c>
      <c r="J13" s="60"/>
      <c r="K13" s="64"/>
      <c r="L13" s="86"/>
    </row>
    <row r="14" spans="1:17" ht="15.75" x14ac:dyDescent="0.25">
      <c r="A14" s="62"/>
      <c r="B14" s="62" t="s">
        <v>23</v>
      </c>
      <c r="C14" s="63" t="s">
        <v>21</v>
      </c>
      <c r="D14" s="58"/>
      <c r="E14" s="64">
        <f>E22+E28+E32</f>
        <v>223278</v>
      </c>
      <c r="F14" s="64">
        <f>F22+F28+F32</f>
        <v>25304.84</v>
      </c>
      <c r="G14" s="64">
        <f>G22+G28+G32</f>
        <v>248582.84000000003</v>
      </c>
      <c r="H14" s="64">
        <f>H22+H28+H32</f>
        <v>226770</v>
      </c>
      <c r="I14" s="60">
        <f t="shared" si="0"/>
        <v>1.0961892666578472</v>
      </c>
      <c r="J14" s="60"/>
      <c r="K14" s="64"/>
      <c r="L14" s="86"/>
      <c r="M14" s="90">
        <f>104.8/639.7</f>
        <v>0.16382679380959822</v>
      </c>
    </row>
    <row r="15" spans="1:17" ht="15.75" x14ac:dyDescent="0.25">
      <c r="A15" s="62"/>
      <c r="B15" s="62" t="s">
        <v>24</v>
      </c>
      <c r="C15" s="63" t="s">
        <v>21</v>
      </c>
      <c r="D15" s="58"/>
      <c r="E15" s="64">
        <f>E24+E29+E33</f>
        <v>473929</v>
      </c>
      <c r="F15" s="64">
        <f>F24+F29+F33</f>
        <v>53711.953333333338</v>
      </c>
      <c r="G15" s="64">
        <f>G24+G29+G33</f>
        <v>527640.95333333337</v>
      </c>
      <c r="H15" s="64">
        <f>H24+H29+H33</f>
        <v>458500</v>
      </c>
      <c r="I15" s="60">
        <f t="shared" si="0"/>
        <v>1.1507981533987641</v>
      </c>
      <c r="J15" s="60"/>
      <c r="K15" s="64"/>
      <c r="L15" s="86"/>
    </row>
    <row r="16" spans="1:17" ht="15.75" x14ac:dyDescent="0.25">
      <c r="A16" s="62"/>
      <c r="B16" s="62" t="s">
        <v>43</v>
      </c>
      <c r="C16" s="63" t="s">
        <v>21</v>
      </c>
      <c r="D16" s="58"/>
      <c r="E16" s="64">
        <v>3620</v>
      </c>
      <c r="F16" s="64">
        <f>E16/9</f>
        <v>402.22222222222223</v>
      </c>
      <c r="G16" s="64">
        <f>E16+F16</f>
        <v>4022.2222222222222</v>
      </c>
      <c r="H16" s="64">
        <v>3952</v>
      </c>
      <c r="I16" s="60"/>
      <c r="J16" s="60"/>
      <c r="K16" s="64"/>
      <c r="L16" s="86"/>
    </row>
    <row r="17" spans="1:17" ht="15.75" x14ac:dyDescent="0.25">
      <c r="A17" s="62"/>
      <c r="B17" s="62" t="s">
        <v>26</v>
      </c>
      <c r="C17" s="63"/>
      <c r="D17" s="189" t="s">
        <v>52</v>
      </c>
      <c r="E17" s="64"/>
      <c r="F17" s="64"/>
      <c r="G17" s="64"/>
      <c r="H17" s="64"/>
      <c r="I17" s="60"/>
      <c r="J17" s="60"/>
      <c r="K17" s="64"/>
      <c r="L17" s="86"/>
    </row>
    <row r="18" spans="1:17" s="70" customFormat="1" ht="18.75" x14ac:dyDescent="0.3">
      <c r="A18" s="66">
        <v>1</v>
      </c>
      <c r="B18" s="66" t="s">
        <v>27</v>
      </c>
      <c r="C18" s="67" t="s">
        <v>21</v>
      </c>
      <c r="D18" s="201">
        <v>317261</v>
      </c>
      <c r="E18" s="68">
        <f>E20+E22+E24</f>
        <v>243034</v>
      </c>
      <c r="F18" s="68">
        <f t="shared" ref="E18:G19" si="1">F20+F22+F24</f>
        <v>27543.853333333333</v>
      </c>
      <c r="G18" s="68">
        <f t="shared" si="1"/>
        <v>270577.85333333333</v>
      </c>
      <c r="H18" s="105">
        <f>H20+H22+H24</f>
        <v>245164</v>
      </c>
      <c r="I18" s="60">
        <f>G18/H18</f>
        <v>1.1036606244527474</v>
      </c>
      <c r="J18" s="60">
        <f t="shared" ref="J18:J34" si="2">G18/D18</f>
        <v>0.85285570345341322</v>
      </c>
      <c r="K18" s="68">
        <f t="shared" ref="K18:K19" si="3">K20+K22+K24</f>
        <v>2918</v>
      </c>
      <c r="L18" s="86">
        <f>E18/K18</f>
        <v>83.287868403015764</v>
      </c>
      <c r="M18" s="48">
        <f>J18+K18</f>
        <v>2918.8528557034533</v>
      </c>
      <c r="N18" s="104">
        <f>E18/M18</f>
        <v>83.263532632386841</v>
      </c>
      <c r="O18" s="91"/>
      <c r="Q18" s="48"/>
    </row>
    <row r="19" spans="1:17" ht="15.75" customHeight="1" x14ac:dyDescent="0.3">
      <c r="A19" s="66"/>
      <c r="B19" s="66"/>
      <c r="C19" s="67" t="s">
        <v>28</v>
      </c>
      <c r="D19" s="201">
        <v>32555</v>
      </c>
      <c r="E19" s="68">
        <f t="shared" si="1"/>
        <v>25198</v>
      </c>
      <c r="F19" s="68">
        <f t="shared" si="1"/>
        <v>2855.7733333333335</v>
      </c>
      <c r="G19" s="68">
        <f t="shared" si="1"/>
        <v>28053.773333333331</v>
      </c>
      <c r="H19" s="105">
        <f>H21+H23+H25</f>
        <v>25217</v>
      </c>
      <c r="I19" s="60">
        <f>G19/H19</f>
        <v>1.112494481236203</v>
      </c>
      <c r="J19" s="60">
        <f t="shared" si="2"/>
        <v>0.86173470537039876</v>
      </c>
      <c r="K19" s="68">
        <f t="shared" si="3"/>
        <v>477</v>
      </c>
      <c r="L19" s="86">
        <f t="shared" ref="L19:L26" si="4">E19/K19</f>
        <v>52.825995807127882</v>
      </c>
      <c r="M19" s="48">
        <f t="shared" ref="M19:M25" si="5">J19+K19</f>
        <v>477.8617347053704</v>
      </c>
      <c r="N19" s="104">
        <f t="shared" ref="N19:N25" si="6">E19/M19</f>
        <v>52.730733954950452</v>
      </c>
      <c r="O19" s="89"/>
      <c r="P19" s="90"/>
    </row>
    <row r="20" spans="1:17" ht="15.75" customHeight="1" x14ac:dyDescent="0.25">
      <c r="A20" s="62"/>
      <c r="B20" s="62" t="s">
        <v>29</v>
      </c>
      <c r="C20" s="63" t="s">
        <v>30</v>
      </c>
      <c r="D20" s="58"/>
      <c r="E20" s="106">
        <v>77310</v>
      </c>
      <c r="F20" s="72">
        <f t="shared" ref="F20:F25" si="7">E20/9*1.02</f>
        <v>8761.7999999999993</v>
      </c>
      <c r="G20" s="64">
        <f>F20+E20</f>
        <v>86071.8</v>
      </c>
      <c r="H20" s="106">
        <f>80097+175</f>
        <v>80272</v>
      </c>
      <c r="I20" s="60"/>
      <c r="J20" s="60"/>
      <c r="K20" s="106">
        <v>175</v>
      </c>
      <c r="L20" s="86">
        <f t="shared" si="4"/>
        <v>441.77142857142854</v>
      </c>
      <c r="M20" s="48">
        <f t="shared" si="5"/>
        <v>175</v>
      </c>
      <c r="N20" s="104">
        <f t="shared" si="6"/>
        <v>441.77142857142854</v>
      </c>
    </row>
    <row r="21" spans="1:17" ht="15.75" customHeight="1" x14ac:dyDescent="0.25">
      <c r="A21" s="62"/>
      <c r="B21" s="62"/>
      <c r="C21" s="63" t="s">
        <v>28</v>
      </c>
      <c r="D21" s="58"/>
      <c r="E21" s="106">
        <v>7832</v>
      </c>
      <c r="F21" s="72">
        <f t="shared" si="7"/>
        <v>887.62666666666667</v>
      </c>
      <c r="G21" s="64">
        <f t="shared" ref="G21:G33" si="8">F21+E21</f>
        <v>8719.626666666667</v>
      </c>
      <c r="H21" s="106">
        <f>7885+19</f>
        <v>7904</v>
      </c>
      <c r="I21" s="60"/>
      <c r="J21" s="60"/>
      <c r="K21" s="106">
        <v>18</v>
      </c>
      <c r="L21" s="86">
        <f t="shared" si="4"/>
        <v>435.11111111111109</v>
      </c>
      <c r="M21" s="48">
        <f t="shared" si="5"/>
        <v>18</v>
      </c>
      <c r="N21" s="104">
        <f t="shared" si="6"/>
        <v>435.11111111111109</v>
      </c>
    </row>
    <row r="22" spans="1:17" ht="15.75" x14ac:dyDescent="0.25">
      <c r="A22" s="62"/>
      <c r="B22" s="62" t="s">
        <v>31</v>
      </c>
      <c r="C22" s="63" t="s">
        <v>30</v>
      </c>
      <c r="D22" s="58"/>
      <c r="E22" s="106">
        <v>80952</v>
      </c>
      <c r="F22" s="72">
        <f t="shared" si="7"/>
        <v>9174.56</v>
      </c>
      <c r="G22" s="64">
        <f t="shared" si="8"/>
        <v>90126.56</v>
      </c>
      <c r="H22" s="106">
        <f>80974+313</f>
        <v>81287</v>
      </c>
      <c r="I22" s="60"/>
      <c r="J22" s="60"/>
      <c r="K22" s="106">
        <v>306</v>
      </c>
      <c r="L22" s="86">
        <f t="shared" si="4"/>
        <v>264.54901960784315</v>
      </c>
      <c r="M22" s="48">
        <f t="shared" si="5"/>
        <v>306</v>
      </c>
      <c r="N22" s="104">
        <f t="shared" si="6"/>
        <v>264.54901960784315</v>
      </c>
      <c r="O22" s="61"/>
      <c r="P22" s="61"/>
      <c r="Q22" s="57"/>
    </row>
    <row r="23" spans="1:17" ht="15.75" x14ac:dyDescent="0.25">
      <c r="A23" s="62"/>
      <c r="B23" s="62"/>
      <c r="C23" s="63" t="s">
        <v>28</v>
      </c>
      <c r="D23" s="58"/>
      <c r="E23" s="106">
        <v>8211</v>
      </c>
      <c r="F23" s="72">
        <f t="shared" si="7"/>
        <v>930.58</v>
      </c>
      <c r="G23" s="64">
        <f t="shared" si="8"/>
        <v>9141.58</v>
      </c>
      <c r="H23" s="106">
        <f>7949+27</f>
        <v>7976</v>
      </c>
      <c r="I23" s="60"/>
      <c r="J23" s="60"/>
      <c r="K23" s="106">
        <v>27</v>
      </c>
      <c r="L23" s="86">
        <f t="shared" si="4"/>
        <v>304.11111111111109</v>
      </c>
      <c r="M23" s="48">
        <f t="shared" si="5"/>
        <v>27</v>
      </c>
      <c r="N23" s="104">
        <f t="shared" si="6"/>
        <v>304.11111111111109</v>
      </c>
    </row>
    <row r="24" spans="1:17" ht="15.75" x14ac:dyDescent="0.25">
      <c r="A24" s="62"/>
      <c r="B24" s="62" t="s">
        <v>32</v>
      </c>
      <c r="C24" s="63" t="s">
        <v>30</v>
      </c>
      <c r="D24" s="58"/>
      <c r="E24" s="106">
        <v>84772</v>
      </c>
      <c r="F24" s="72">
        <f t="shared" si="7"/>
        <v>9607.4933333333338</v>
      </c>
      <c r="G24" s="64">
        <f t="shared" si="8"/>
        <v>94379.493333333332</v>
      </c>
      <c r="H24" s="106">
        <f>80955+2650</f>
        <v>83605</v>
      </c>
      <c r="I24" s="60"/>
      <c r="J24" s="60"/>
      <c r="K24" s="106">
        <v>2437</v>
      </c>
      <c r="L24" s="86">
        <f t="shared" si="4"/>
        <v>34.785391875256465</v>
      </c>
      <c r="M24" s="48">
        <f t="shared" si="5"/>
        <v>2437</v>
      </c>
      <c r="N24" s="104">
        <f t="shared" si="6"/>
        <v>34.785391875256465</v>
      </c>
    </row>
    <row r="25" spans="1:17" ht="15.75" x14ac:dyDescent="0.25">
      <c r="A25" s="62"/>
      <c r="B25" s="62"/>
      <c r="C25" s="63" t="s">
        <v>28</v>
      </c>
      <c r="D25" s="58"/>
      <c r="E25" s="106">
        <v>9155</v>
      </c>
      <c r="F25" s="72">
        <f t="shared" si="7"/>
        <v>1037.5666666666666</v>
      </c>
      <c r="G25" s="64">
        <f t="shared" si="8"/>
        <v>10192.566666666666</v>
      </c>
      <c r="H25" s="106">
        <f>8894+443</f>
        <v>9337</v>
      </c>
      <c r="I25" s="60"/>
      <c r="J25" s="60"/>
      <c r="K25" s="106">
        <v>432</v>
      </c>
      <c r="L25" s="86">
        <f t="shared" si="4"/>
        <v>21.19212962962963</v>
      </c>
      <c r="M25" s="48">
        <f t="shared" si="5"/>
        <v>432</v>
      </c>
      <c r="N25" s="104">
        <f t="shared" si="6"/>
        <v>21.19212962962963</v>
      </c>
    </row>
    <row r="26" spans="1:17" s="70" customFormat="1" ht="15.75" x14ac:dyDescent="0.25">
      <c r="A26" s="66">
        <v>2</v>
      </c>
      <c r="B26" s="66" t="s">
        <v>33</v>
      </c>
      <c r="C26" s="67" t="s">
        <v>21</v>
      </c>
      <c r="D26" s="229">
        <v>90487</v>
      </c>
      <c r="E26" s="68">
        <f>E27+E28+E29</f>
        <v>68065</v>
      </c>
      <c r="F26" s="68">
        <f>F27+F28+F29</f>
        <v>7714.0333333333338</v>
      </c>
      <c r="G26" s="68">
        <f>G27+G28+G29</f>
        <v>75779.033333333326</v>
      </c>
      <c r="H26" s="105">
        <f>H27+H28+H29</f>
        <v>69545</v>
      </c>
      <c r="I26" s="60">
        <f>G26/H26</f>
        <v>1.0896402808732955</v>
      </c>
      <c r="J26" s="60">
        <f t="shared" si="2"/>
        <v>0.83745768268738408</v>
      </c>
      <c r="K26" s="68">
        <f>K27+K28+K29</f>
        <v>56688</v>
      </c>
      <c r="L26" s="86">
        <f t="shared" si="4"/>
        <v>1.2006950324583685</v>
      </c>
      <c r="M26" s="48"/>
      <c r="Q26" s="71"/>
    </row>
    <row r="27" spans="1:17" ht="15.75" x14ac:dyDescent="0.25">
      <c r="A27" s="62"/>
      <c r="B27" s="62" t="s">
        <v>29</v>
      </c>
      <c r="C27" s="63" t="s">
        <v>21</v>
      </c>
      <c r="D27" s="58"/>
      <c r="E27" s="106">
        <v>3162</v>
      </c>
      <c r="F27" s="72">
        <f>E27/9*1.02</f>
        <v>358.36</v>
      </c>
      <c r="G27" s="64">
        <f>E27+F27</f>
        <v>3520.36</v>
      </c>
      <c r="H27" s="106">
        <f>3628+69</f>
        <v>3697</v>
      </c>
      <c r="I27" s="60"/>
      <c r="J27" s="60"/>
      <c r="K27" s="72">
        <v>3506</v>
      </c>
      <c r="L27" s="86"/>
    </row>
    <row r="28" spans="1:17" ht="15.75" x14ac:dyDescent="0.25">
      <c r="A28" s="62"/>
      <c r="B28" s="62" t="s">
        <v>34</v>
      </c>
      <c r="C28" s="63" t="s">
        <v>21</v>
      </c>
      <c r="D28" s="58"/>
      <c r="E28" s="106">
        <v>26585</v>
      </c>
      <c r="F28" s="72">
        <f>E28/9*1.02</f>
        <v>3012.9666666666667</v>
      </c>
      <c r="G28" s="64">
        <f>E28+F28</f>
        <v>29597.966666666667</v>
      </c>
      <c r="H28" s="106">
        <f>26670+172</f>
        <v>26842</v>
      </c>
      <c r="I28" s="60"/>
      <c r="J28" s="60"/>
      <c r="K28" s="72">
        <v>18198</v>
      </c>
      <c r="L28" s="86"/>
    </row>
    <row r="29" spans="1:17" ht="15.75" customHeight="1" x14ac:dyDescent="0.25">
      <c r="A29" s="62"/>
      <c r="B29" s="62" t="s">
        <v>32</v>
      </c>
      <c r="C29" s="63" t="s">
        <v>21</v>
      </c>
      <c r="D29" s="58"/>
      <c r="E29" s="106">
        <v>38318</v>
      </c>
      <c r="F29" s="72">
        <f>E29/9*1.02</f>
        <v>4342.7066666666669</v>
      </c>
      <c r="G29" s="64">
        <f>E29+F29</f>
        <v>42660.706666666665</v>
      </c>
      <c r="H29" s="106">
        <f>36893+2113</f>
        <v>39006</v>
      </c>
      <c r="I29" s="60"/>
      <c r="J29" s="60"/>
      <c r="K29" s="72">
        <v>34984</v>
      </c>
      <c r="L29" s="86"/>
    </row>
    <row r="30" spans="1:17" s="70" customFormat="1" ht="15.75" x14ac:dyDescent="0.25">
      <c r="A30" s="66">
        <v>3</v>
      </c>
      <c r="B30" s="66" t="s">
        <v>35</v>
      </c>
      <c r="C30" s="67" t="s">
        <v>21</v>
      </c>
      <c r="D30" s="201">
        <v>651947</v>
      </c>
      <c r="E30" s="68">
        <f>E31+E32+E33</f>
        <v>545663</v>
      </c>
      <c r="F30" s="68">
        <f>F31+F32+F33</f>
        <v>61841.806666666671</v>
      </c>
      <c r="G30" s="68">
        <f>G31+G32+G33</f>
        <v>607504.80666666664</v>
      </c>
      <c r="H30" s="105">
        <f>H31+H32+H33</f>
        <v>544145</v>
      </c>
      <c r="I30" s="60">
        <f>G30/H30</f>
        <v>1.1164391966602039</v>
      </c>
      <c r="J30" s="60">
        <f t="shared" si="2"/>
        <v>0.93183158549186762</v>
      </c>
      <c r="K30" s="68">
        <f>K31+K32+K33</f>
        <v>289676</v>
      </c>
      <c r="L30" s="86"/>
      <c r="M30" s="71"/>
      <c r="Q30" s="71"/>
    </row>
    <row r="31" spans="1:17" ht="15.75" x14ac:dyDescent="0.25">
      <c r="A31" s="62"/>
      <c r="B31" s="62" t="s">
        <v>29</v>
      </c>
      <c r="C31" s="63" t="s">
        <v>21</v>
      </c>
      <c r="D31" s="58"/>
      <c r="E31" s="106">
        <v>79083</v>
      </c>
      <c r="F31" s="72">
        <f>E31/9*1.02</f>
        <v>8962.74</v>
      </c>
      <c r="G31" s="64">
        <f t="shared" si="8"/>
        <v>88045.74</v>
      </c>
      <c r="H31" s="106">
        <f>84503+5112</f>
        <v>89615</v>
      </c>
      <c r="I31" s="60"/>
      <c r="J31" s="60"/>
      <c r="K31" s="72">
        <v>74205</v>
      </c>
      <c r="L31" s="86"/>
    </row>
    <row r="32" spans="1:17" ht="15.75" x14ac:dyDescent="0.25">
      <c r="A32" s="62"/>
      <c r="B32" s="62" t="s">
        <v>34</v>
      </c>
      <c r="C32" s="63" t="s">
        <v>21</v>
      </c>
      <c r="D32" s="58"/>
      <c r="E32" s="106">
        <v>115741</v>
      </c>
      <c r="F32" s="72">
        <f>E32/9*1.02</f>
        <v>13117.313333333334</v>
      </c>
      <c r="G32" s="64">
        <f t="shared" si="8"/>
        <v>128858.31333333334</v>
      </c>
      <c r="H32" s="106">
        <f>114284+4357</f>
        <v>118641</v>
      </c>
      <c r="I32" s="60"/>
      <c r="J32" s="60"/>
      <c r="K32" s="72">
        <v>84097</v>
      </c>
      <c r="L32" s="86"/>
    </row>
    <row r="33" spans="1:17" ht="15.75" customHeight="1" x14ac:dyDescent="0.25">
      <c r="A33" s="62"/>
      <c r="B33" s="62" t="s">
        <v>32</v>
      </c>
      <c r="C33" s="63" t="s">
        <v>21</v>
      </c>
      <c r="D33" s="58"/>
      <c r="E33" s="106">
        <v>350839</v>
      </c>
      <c r="F33" s="72">
        <f>E33/9*1.02</f>
        <v>39761.753333333334</v>
      </c>
      <c r="G33" s="64">
        <f t="shared" si="8"/>
        <v>390600.75333333336</v>
      </c>
      <c r="H33" s="106">
        <f>202474+133415</f>
        <v>335889</v>
      </c>
      <c r="I33" s="60"/>
      <c r="J33" s="60"/>
      <c r="K33" s="72">
        <v>131374</v>
      </c>
      <c r="L33" s="86"/>
    </row>
    <row r="34" spans="1:17" s="70" customFormat="1" ht="15.75" x14ac:dyDescent="0.25">
      <c r="A34" s="66">
        <v>4</v>
      </c>
      <c r="B34" s="66" t="s">
        <v>53</v>
      </c>
      <c r="C34" s="67" t="s">
        <v>21</v>
      </c>
      <c r="D34" s="201">
        <v>89834</v>
      </c>
      <c r="E34" s="107">
        <v>78971</v>
      </c>
      <c r="F34" s="92">
        <f>E34/9</f>
        <v>8774.5555555555547</v>
      </c>
      <c r="G34" s="68">
        <f>F34+E34</f>
        <v>87745.555555555562</v>
      </c>
      <c r="H34" s="107">
        <v>64674</v>
      </c>
      <c r="I34" s="60">
        <f>G34/H34</f>
        <v>1.3567361776843176</v>
      </c>
      <c r="J34" s="60">
        <f t="shared" si="2"/>
        <v>0.97675218242041506</v>
      </c>
      <c r="K34" s="71">
        <v>57073</v>
      </c>
      <c r="L34" s="86"/>
      <c r="M34" s="48"/>
      <c r="Q34" s="71"/>
    </row>
    <row r="35" spans="1:17" x14ac:dyDescent="0.25">
      <c r="A35" s="62"/>
      <c r="B35" s="62"/>
      <c r="C35" s="63"/>
      <c r="D35" s="143"/>
      <c r="E35" s="62"/>
      <c r="F35" s="62"/>
      <c r="G35" s="62"/>
      <c r="H35" s="64"/>
      <c r="I35" s="75"/>
      <c r="J35" s="75"/>
    </row>
    <row r="36" spans="1:17" x14ac:dyDescent="0.25">
      <c r="A36" s="76"/>
      <c r="B36" s="76"/>
      <c r="C36" s="77"/>
      <c r="D36" s="78"/>
      <c r="E36" s="76"/>
      <c r="F36" s="76"/>
      <c r="G36" s="76"/>
      <c r="H36" s="78"/>
      <c r="I36" s="76"/>
      <c r="J36" s="76"/>
    </row>
    <row r="37" spans="1:17" ht="37.5" customHeight="1" x14ac:dyDescent="0.25">
      <c r="A37" s="255"/>
      <c r="B37" s="256"/>
      <c r="C37" s="256"/>
      <c r="D37" s="256"/>
      <c r="E37" s="256"/>
      <c r="F37" s="256"/>
      <c r="G37" s="256"/>
      <c r="H37" s="256"/>
      <c r="I37" s="256"/>
      <c r="J37" s="256"/>
    </row>
    <row r="38" spans="1:17" ht="16.5" customHeight="1" x14ac:dyDescent="0.25">
      <c r="A38" s="79"/>
      <c r="B38" s="79"/>
      <c r="C38" s="77"/>
      <c r="D38" s="78"/>
      <c r="E38" s="76"/>
      <c r="F38" s="76"/>
      <c r="G38" s="76"/>
      <c r="H38" s="78"/>
      <c r="I38" s="76"/>
      <c r="J38" s="76"/>
    </row>
    <row r="39" spans="1:17" ht="15.75" x14ac:dyDescent="0.25">
      <c r="A39" s="79"/>
      <c r="B39" s="79"/>
      <c r="C39" s="77"/>
      <c r="D39" s="78"/>
      <c r="E39" s="76"/>
      <c r="F39" s="76"/>
      <c r="G39" s="76"/>
      <c r="H39" s="78"/>
      <c r="I39" s="76"/>
      <c r="J39" s="76"/>
    </row>
    <row r="40" spans="1:17" ht="15.75" x14ac:dyDescent="0.25">
      <c r="A40" s="79"/>
      <c r="B40" s="79"/>
      <c r="C40" s="77"/>
      <c r="D40" s="78"/>
      <c r="E40" s="76"/>
      <c r="F40" s="76"/>
      <c r="G40" s="76"/>
      <c r="H40" s="78"/>
      <c r="I40" s="76"/>
      <c r="J40" s="76"/>
    </row>
    <row r="41" spans="1:17" ht="15.75" x14ac:dyDescent="0.25">
      <c r="A41" s="79"/>
      <c r="B41" s="79"/>
      <c r="C41" s="77"/>
      <c r="D41" s="78"/>
      <c r="E41" s="76"/>
      <c r="F41" s="76"/>
      <c r="G41" s="76"/>
      <c r="H41" s="78"/>
      <c r="I41" s="76"/>
      <c r="J41" s="76"/>
    </row>
    <row r="42" spans="1:17" ht="15.75" x14ac:dyDescent="0.25">
      <c r="A42" s="79"/>
      <c r="B42" s="79"/>
      <c r="C42" s="77"/>
      <c r="D42" s="78"/>
      <c r="E42" s="76"/>
      <c r="F42" s="76"/>
      <c r="G42" s="76"/>
      <c r="H42" s="78"/>
      <c r="I42" s="76"/>
      <c r="J42" s="76"/>
    </row>
    <row r="43" spans="1:17" ht="15.75" x14ac:dyDescent="0.25">
      <c r="A43" s="246"/>
      <c r="B43" s="246"/>
      <c r="C43" s="77"/>
      <c r="D43" s="78"/>
      <c r="E43" s="76"/>
      <c r="F43" s="76"/>
      <c r="G43" s="76"/>
      <c r="H43" s="78"/>
      <c r="I43" s="76"/>
      <c r="J43" s="76"/>
    </row>
    <row r="44" spans="1:17" ht="15.75" x14ac:dyDescent="0.25">
      <c r="A44" s="241"/>
      <c r="B44" s="241"/>
      <c r="C44" s="77"/>
      <c r="D44" s="78"/>
      <c r="E44" s="76"/>
      <c r="F44" s="76"/>
      <c r="G44" s="76"/>
      <c r="H44" s="78"/>
      <c r="I44" s="76"/>
      <c r="J44" s="76"/>
    </row>
    <row r="45" spans="1:17" x14ac:dyDescent="0.25">
      <c r="A45" s="76"/>
      <c r="B45" s="76"/>
      <c r="C45" s="77"/>
      <c r="D45" s="78"/>
      <c r="E45" s="76"/>
      <c r="F45" s="76"/>
      <c r="G45" s="76"/>
      <c r="H45" s="78"/>
      <c r="I45" s="76"/>
      <c r="J45" s="76"/>
    </row>
    <row r="46" spans="1:17" x14ac:dyDescent="0.25">
      <c r="A46" s="76"/>
      <c r="B46" s="76"/>
      <c r="C46" s="77"/>
      <c r="D46" s="78"/>
      <c r="E46" s="76"/>
      <c r="F46" s="76"/>
      <c r="G46" s="76"/>
      <c r="H46" s="78"/>
      <c r="I46" s="76"/>
      <c r="J46" s="76"/>
    </row>
    <row r="47" spans="1:17" x14ac:dyDescent="0.25">
      <c r="A47" s="76"/>
      <c r="B47" s="76"/>
      <c r="C47" s="77"/>
      <c r="D47" s="78"/>
      <c r="E47" s="76"/>
      <c r="F47" s="76"/>
      <c r="G47" s="76"/>
      <c r="H47" s="78"/>
      <c r="I47" s="76"/>
      <c r="J47" s="76"/>
    </row>
    <row r="48" spans="1:17"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row r="56" spans="1:10" x14ac:dyDescent="0.25">
      <c r="A56" s="76"/>
      <c r="B56" s="76"/>
      <c r="C56" s="77"/>
      <c r="D56" s="78"/>
      <c r="E56" s="76"/>
      <c r="F56" s="76"/>
      <c r="G56" s="76"/>
      <c r="H56" s="78"/>
      <c r="I56" s="76"/>
      <c r="J56" s="76"/>
    </row>
  </sheetData>
  <mergeCells count="11">
    <mergeCell ref="A43:B43"/>
    <mergeCell ref="A44:B44"/>
    <mergeCell ref="A1:J1"/>
    <mergeCell ref="A6:J6"/>
    <mergeCell ref="A7:J7"/>
    <mergeCell ref="A9:A10"/>
    <mergeCell ref="B9:B10"/>
    <mergeCell ref="C9:C10"/>
    <mergeCell ref="D9:D10"/>
    <mergeCell ref="E9:J9"/>
    <mergeCell ref="A37:J37"/>
  </mergeCells>
  <pageMargins left="0.7" right="0.7" top="0.75" bottom="0.75" header="0.3" footer="0.3"/>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M56"/>
  <sheetViews>
    <sheetView topLeftCell="A25" zoomScale="90" zoomScaleNormal="90" workbookViewId="0">
      <selection activeCell="G2" sqref="G2:G3"/>
    </sheetView>
  </sheetViews>
  <sheetFormatPr defaultRowHeight="15" x14ac:dyDescent="0.25"/>
  <cols>
    <col min="1" max="1" width="4.28515625" style="47" customWidth="1"/>
    <col min="2" max="2" width="16.140625" style="47" customWidth="1"/>
    <col min="3" max="3" width="10.28515625" style="80" bestFit="1" customWidth="1"/>
    <col min="4" max="4" width="10.42578125" style="48" customWidth="1"/>
    <col min="5" max="5" width="9.7109375" style="47" customWidth="1"/>
    <col min="6" max="6" width="7.7109375" style="47" customWidth="1"/>
    <col min="7" max="7" width="11.140625" style="47" customWidth="1"/>
    <col min="8" max="8" width="8.7109375" style="48" customWidth="1"/>
    <col min="9" max="9" width="8.85546875" style="47" customWidth="1"/>
    <col min="10" max="10" width="8" style="47" customWidth="1"/>
    <col min="11" max="11" width="11.140625" style="48" bestFit="1" customWidth="1"/>
    <col min="12" max="12" width="13.5703125" style="47" customWidth="1"/>
    <col min="13" max="16384" width="9.140625" style="47"/>
  </cols>
  <sheetData>
    <row r="1" spans="1:13" ht="18.75" x14ac:dyDescent="0.3">
      <c r="A1" s="242" t="s">
        <v>37</v>
      </c>
      <c r="B1" s="242"/>
      <c r="C1" s="242"/>
      <c r="D1" s="242"/>
      <c r="E1" s="242"/>
      <c r="F1" s="242"/>
      <c r="G1" s="242"/>
      <c r="H1" s="242"/>
      <c r="I1" s="242"/>
      <c r="J1" s="242"/>
    </row>
    <row r="2" spans="1:13" x14ac:dyDescent="0.25">
      <c r="A2" s="49" t="s">
        <v>46</v>
      </c>
      <c r="B2" s="49"/>
      <c r="C2" s="50"/>
      <c r="D2" s="51"/>
      <c r="E2" s="49"/>
      <c r="F2" s="49"/>
      <c r="G2" s="49" t="s">
        <v>83</v>
      </c>
      <c r="H2" s="51"/>
      <c r="I2" s="49"/>
      <c r="J2" s="49"/>
    </row>
    <row r="3" spans="1:13" x14ac:dyDescent="0.25">
      <c r="A3" s="49" t="s">
        <v>88</v>
      </c>
      <c r="B3" s="49"/>
      <c r="C3" s="50"/>
      <c r="D3" s="51"/>
      <c r="E3" s="49"/>
      <c r="F3" s="49"/>
      <c r="G3" s="49" t="s">
        <v>84</v>
      </c>
      <c r="H3" s="51"/>
      <c r="I3" s="49"/>
      <c r="J3" s="49"/>
    </row>
    <row r="4" spans="1:13" x14ac:dyDescent="0.25">
      <c r="A4" s="49"/>
      <c r="B4" s="49"/>
      <c r="C4" s="50"/>
      <c r="D4" s="51"/>
      <c r="E4" s="49"/>
      <c r="F4" s="49"/>
      <c r="G4" s="49"/>
      <c r="H4" s="51"/>
      <c r="I4" s="49"/>
      <c r="J4" s="49"/>
    </row>
    <row r="6" spans="1:13" ht="16.5" x14ac:dyDescent="0.25">
      <c r="A6" s="243" t="s">
        <v>3</v>
      </c>
      <c r="B6" s="243"/>
      <c r="C6" s="243"/>
      <c r="D6" s="243"/>
      <c r="E6" s="243"/>
      <c r="F6" s="243"/>
      <c r="G6" s="243"/>
      <c r="H6" s="243"/>
      <c r="I6" s="243"/>
      <c r="J6" s="243"/>
    </row>
    <row r="7" spans="1:13" ht="16.5" x14ac:dyDescent="0.25">
      <c r="A7" s="243" t="s">
        <v>87</v>
      </c>
      <c r="B7" s="243"/>
      <c r="C7" s="243"/>
      <c r="D7" s="243"/>
      <c r="E7" s="243"/>
      <c r="F7" s="243"/>
      <c r="G7" s="243"/>
      <c r="H7" s="243"/>
      <c r="I7" s="243"/>
      <c r="J7" s="243"/>
    </row>
    <row r="9" spans="1:13" ht="15" customHeight="1" x14ac:dyDescent="0.25">
      <c r="A9" s="244" t="s">
        <v>4</v>
      </c>
      <c r="B9" s="244" t="s">
        <v>5</v>
      </c>
      <c r="C9" s="244" t="s">
        <v>6</v>
      </c>
      <c r="D9" s="245" t="s">
        <v>7</v>
      </c>
      <c r="E9" s="244" t="s">
        <v>8</v>
      </c>
      <c r="F9" s="244"/>
      <c r="G9" s="244"/>
      <c r="H9" s="244"/>
      <c r="I9" s="244"/>
      <c r="J9" s="244"/>
    </row>
    <row r="10" spans="1:13" ht="85.5" x14ac:dyDescent="0.25">
      <c r="A10" s="244"/>
      <c r="B10" s="244"/>
      <c r="C10" s="244"/>
      <c r="D10" s="245"/>
      <c r="E10" s="53" t="s">
        <v>9</v>
      </c>
      <c r="F10" s="53" t="s">
        <v>10</v>
      </c>
      <c r="G10" s="53" t="s">
        <v>11</v>
      </c>
      <c r="H10" s="54" t="s">
        <v>12</v>
      </c>
      <c r="I10" s="53" t="s">
        <v>13</v>
      </c>
      <c r="J10" s="53" t="s">
        <v>14</v>
      </c>
    </row>
    <row r="11" spans="1:13" x14ac:dyDescent="0.25">
      <c r="A11" s="53" t="s">
        <v>15</v>
      </c>
      <c r="B11" s="53" t="s">
        <v>16</v>
      </c>
      <c r="C11" s="53" t="s">
        <v>17</v>
      </c>
      <c r="D11" s="54">
        <v>1</v>
      </c>
      <c r="E11" s="53">
        <v>2</v>
      </c>
      <c r="F11" s="53">
        <v>3</v>
      </c>
      <c r="G11" s="53">
        <v>4</v>
      </c>
      <c r="H11" s="54">
        <v>5</v>
      </c>
      <c r="I11" s="53" t="s">
        <v>18</v>
      </c>
      <c r="J11" s="53" t="s">
        <v>19</v>
      </c>
    </row>
    <row r="12" spans="1:13" s="61" customFormat="1" ht="15.75" x14ac:dyDescent="0.25">
      <c r="A12" s="55"/>
      <c r="B12" s="55" t="s">
        <v>20</v>
      </c>
      <c r="C12" s="56" t="s">
        <v>21</v>
      </c>
      <c r="D12" s="58">
        <v>1064879</v>
      </c>
      <c r="E12" s="59">
        <f>E13+E14+E15+E16</f>
        <v>968503</v>
      </c>
      <c r="F12" s="59">
        <f>F13+F14+F15+F16</f>
        <v>96850.3</v>
      </c>
      <c r="G12" s="59">
        <f>G13+G14+G15+G16</f>
        <v>1065353.3</v>
      </c>
      <c r="H12" s="59">
        <f>H13+H14+H15+H16</f>
        <v>953291</v>
      </c>
      <c r="I12" s="60">
        <f>G12/H12</f>
        <v>1.1175530871475763</v>
      </c>
      <c r="J12" s="60">
        <f>G12/D12</f>
        <v>1.0004454027171163</v>
      </c>
      <c r="K12" s="57">
        <f>1/10*1.02*12</f>
        <v>1.2240000000000002</v>
      </c>
      <c r="L12" s="57">
        <f>E12*K12</f>
        <v>1185447.6720000003</v>
      </c>
    </row>
    <row r="13" spans="1:13" ht="15.75" x14ac:dyDescent="0.25">
      <c r="A13" s="62"/>
      <c r="B13" s="62" t="s">
        <v>22</v>
      </c>
      <c r="C13" s="63" t="s">
        <v>21</v>
      </c>
      <c r="D13" s="58"/>
      <c r="E13" s="64">
        <f>E20+E27+E31</f>
        <v>179632</v>
      </c>
      <c r="F13" s="64">
        <f>F20+F27+F31</f>
        <v>17963.2</v>
      </c>
      <c r="G13" s="64">
        <f>G20+G27+G31</f>
        <v>197595.2</v>
      </c>
      <c r="H13" s="64">
        <f>H20+H27+H31</f>
        <v>190670</v>
      </c>
      <c r="I13" s="60">
        <f>G13/H13</f>
        <v>1.0363203440499293</v>
      </c>
      <c r="J13" s="60"/>
      <c r="K13" s="57">
        <f t="shared" ref="K13:K35" si="0">1/10*1.02*12</f>
        <v>1.2240000000000002</v>
      </c>
      <c r="L13" s="57">
        <f t="shared" ref="L13:L35" si="1">E13*K13</f>
        <v>219869.56800000003</v>
      </c>
      <c r="M13" s="48"/>
    </row>
    <row r="14" spans="1:13" ht="15.75" x14ac:dyDescent="0.25">
      <c r="A14" s="62"/>
      <c r="B14" s="62" t="s">
        <v>23</v>
      </c>
      <c r="C14" s="63" t="s">
        <v>21</v>
      </c>
      <c r="D14" s="58"/>
      <c r="E14" s="64">
        <f>E22+E28+E32</f>
        <v>248626</v>
      </c>
      <c r="F14" s="64">
        <f>F22+F28+F32</f>
        <v>24862.6</v>
      </c>
      <c r="G14" s="64">
        <f>G22+G28+G32</f>
        <v>273488.59999999998</v>
      </c>
      <c r="H14" s="64">
        <f>H22+H28+H32</f>
        <v>248951</v>
      </c>
      <c r="I14" s="60">
        <f>G14/H14</f>
        <v>1.0985639744367364</v>
      </c>
      <c r="J14" s="60"/>
      <c r="K14" s="57">
        <f t="shared" si="0"/>
        <v>1.2240000000000002</v>
      </c>
      <c r="L14" s="57">
        <f t="shared" si="1"/>
        <v>304318.22400000005</v>
      </c>
    </row>
    <row r="15" spans="1:13" ht="15.75" x14ac:dyDescent="0.25">
      <c r="A15" s="62"/>
      <c r="B15" s="62" t="s">
        <v>24</v>
      </c>
      <c r="C15" s="63" t="s">
        <v>21</v>
      </c>
      <c r="D15" s="58"/>
      <c r="E15" s="64">
        <f>E24+E29+E33</f>
        <v>536162</v>
      </c>
      <c r="F15" s="64">
        <f>F24+F29+F33</f>
        <v>53616.2</v>
      </c>
      <c r="G15" s="64">
        <f>G24+G29+G33</f>
        <v>589778.19999999995</v>
      </c>
      <c r="H15" s="64">
        <f>H24+H29+H33</f>
        <v>509338</v>
      </c>
      <c r="I15" s="60">
        <f>G15/H15</f>
        <v>1.1579308828322252</v>
      </c>
      <c r="J15" s="60"/>
      <c r="K15" s="57">
        <f t="shared" si="0"/>
        <v>1.2240000000000002</v>
      </c>
      <c r="L15" s="57">
        <f t="shared" si="1"/>
        <v>656262.28800000006</v>
      </c>
    </row>
    <row r="16" spans="1:13" ht="15.75" x14ac:dyDescent="0.25">
      <c r="A16" s="62"/>
      <c r="B16" s="62" t="s">
        <v>43</v>
      </c>
      <c r="C16" s="63" t="s">
        <v>21</v>
      </c>
      <c r="D16" s="58"/>
      <c r="E16" s="64">
        <v>4083</v>
      </c>
      <c r="F16" s="64">
        <f>E16/10</f>
        <v>408.3</v>
      </c>
      <c r="G16" s="64">
        <f>E16+F16</f>
        <v>4491.3</v>
      </c>
      <c r="H16" s="64">
        <v>4332</v>
      </c>
      <c r="I16" s="60"/>
      <c r="J16" s="60"/>
      <c r="K16" s="57">
        <f t="shared" si="0"/>
        <v>1.2240000000000002</v>
      </c>
      <c r="L16" s="57">
        <f t="shared" si="1"/>
        <v>4997.5920000000006</v>
      </c>
    </row>
    <row r="17" spans="1:12" ht="15.75" customHeight="1" x14ac:dyDescent="0.25">
      <c r="A17" s="62"/>
      <c r="B17" s="62" t="s">
        <v>26</v>
      </c>
      <c r="C17" s="63"/>
      <c r="D17" s="189" t="s">
        <v>52</v>
      </c>
      <c r="E17" s="230"/>
      <c r="F17" s="64"/>
      <c r="G17" s="64"/>
      <c r="H17" s="64"/>
      <c r="I17" s="60"/>
      <c r="J17" s="60"/>
      <c r="K17" s="57">
        <f t="shared" si="0"/>
        <v>1.2240000000000002</v>
      </c>
      <c r="L17" s="57">
        <f t="shared" si="1"/>
        <v>0</v>
      </c>
    </row>
    <row r="18" spans="1:12" s="70" customFormat="1" ht="15.75" x14ac:dyDescent="0.25">
      <c r="A18" s="66">
        <v>1</v>
      </c>
      <c r="B18" s="66" t="s">
        <v>27</v>
      </c>
      <c r="C18" s="67" t="s">
        <v>21</v>
      </c>
      <c r="D18" s="201">
        <v>317261</v>
      </c>
      <c r="E18" s="105">
        <f>E20+E22+E24</f>
        <v>273419</v>
      </c>
      <c r="F18" s="93">
        <f t="shared" ref="F18:H19" si="2">F20+F22+F24</f>
        <v>27341.9</v>
      </c>
      <c r="G18" s="68">
        <f t="shared" si="2"/>
        <v>300760.90000000002</v>
      </c>
      <c r="H18" s="68">
        <f t="shared" si="2"/>
        <v>271016</v>
      </c>
      <c r="I18" s="60">
        <f>G18/H18</f>
        <v>1.1097532986982319</v>
      </c>
      <c r="J18" s="60"/>
      <c r="K18" s="57">
        <f t="shared" si="0"/>
        <v>1.2240000000000002</v>
      </c>
      <c r="L18" s="57">
        <f t="shared" si="1"/>
        <v>334664.85600000003</v>
      </c>
    </row>
    <row r="19" spans="1:12" ht="15.75" customHeight="1" x14ac:dyDescent="0.25">
      <c r="A19" s="66"/>
      <c r="B19" s="66"/>
      <c r="C19" s="67" t="s">
        <v>28</v>
      </c>
      <c r="D19" s="201">
        <v>32555</v>
      </c>
      <c r="E19" s="105">
        <f>E21+E23+E25</f>
        <v>28367</v>
      </c>
      <c r="F19" s="93">
        <f t="shared" si="2"/>
        <v>2836.7</v>
      </c>
      <c r="G19" s="68">
        <f t="shared" si="2"/>
        <v>31203.699999999997</v>
      </c>
      <c r="H19" s="68">
        <f t="shared" si="2"/>
        <v>27990</v>
      </c>
      <c r="I19" s="60">
        <f>G19/H19</f>
        <v>1.1148160057163272</v>
      </c>
      <c r="J19" s="60">
        <f>G19/D19</f>
        <v>0.95849178313623096</v>
      </c>
      <c r="K19" s="57">
        <f t="shared" si="0"/>
        <v>1.2240000000000002</v>
      </c>
      <c r="L19" s="57">
        <f t="shared" si="1"/>
        <v>34721.208000000006</v>
      </c>
    </row>
    <row r="20" spans="1:12" ht="15.75" customHeight="1" x14ac:dyDescent="0.25">
      <c r="A20" s="62"/>
      <c r="B20" s="62" t="s">
        <v>29</v>
      </c>
      <c r="C20" s="63" t="s">
        <v>30</v>
      </c>
      <c r="D20" s="58"/>
      <c r="E20" s="106">
        <v>87036</v>
      </c>
      <c r="F20" s="94">
        <f t="shared" ref="F20:F25" si="3">E20/10</f>
        <v>8703.6</v>
      </c>
      <c r="G20" s="64">
        <f>F20+E20</f>
        <v>95739.6</v>
      </c>
      <c r="H20" s="112">
        <f>88248+189+8</f>
        <v>88445</v>
      </c>
      <c r="I20" s="60"/>
      <c r="J20" s="60"/>
      <c r="K20" s="57">
        <f t="shared" si="0"/>
        <v>1.2240000000000002</v>
      </c>
      <c r="L20" s="57">
        <f t="shared" si="1"/>
        <v>106532.06400000001</v>
      </c>
    </row>
    <row r="21" spans="1:12" ht="15.75" customHeight="1" x14ac:dyDescent="0.25">
      <c r="A21" s="62"/>
      <c r="B21" s="62"/>
      <c r="C21" s="63" t="s">
        <v>28</v>
      </c>
      <c r="D21" s="58"/>
      <c r="E21" s="106">
        <v>8813</v>
      </c>
      <c r="F21" s="94">
        <f t="shared" si="3"/>
        <v>881.3</v>
      </c>
      <c r="G21" s="64">
        <f t="shared" ref="G21:G33" si="4">F21+E21</f>
        <v>9694.2999999999993</v>
      </c>
      <c r="H21" s="112">
        <f>8713+20+1</f>
        <v>8734</v>
      </c>
      <c r="I21" s="60"/>
      <c r="J21" s="60"/>
      <c r="K21" s="57">
        <f t="shared" si="0"/>
        <v>1.2240000000000002</v>
      </c>
      <c r="L21" s="57">
        <f t="shared" si="1"/>
        <v>10787.112000000001</v>
      </c>
    </row>
    <row r="22" spans="1:12" ht="15.75" x14ac:dyDescent="0.25">
      <c r="A22" s="62"/>
      <c r="B22" s="62" t="s">
        <v>31</v>
      </c>
      <c r="C22" s="63" t="s">
        <v>30</v>
      </c>
      <c r="D22" s="58"/>
      <c r="E22" s="106">
        <v>91004</v>
      </c>
      <c r="F22" s="94">
        <f t="shared" si="3"/>
        <v>9100.4</v>
      </c>
      <c r="G22" s="64">
        <f t="shared" si="4"/>
        <v>100104.4</v>
      </c>
      <c r="H22" s="112">
        <f>89323+335+17</f>
        <v>89675</v>
      </c>
      <c r="I22" s="60"/>
      <c r="J22" s="60"/>
      <c r="K22" s="57">
        <f t="shared" si="0"/>
        <v>1.2240000000000002</v>
      </c>
      <c r="L22" s="57">
        <f t="shared" si="1"/>
        <v>111388.89600000002</v>
      </c>
    </row>
    <row r="23" spans="1:12" ht="15.75" x14ac:dyDescent="0.25">
      <c r="A23" s="62"/>
      <c r="B23" s="62"/>
      <c r="C23" s="63" t="s">
        <v>28</v>
      </c>
      <c r="D23" s="58"/>
      <c r="E23" s="106">
        <v>9210</v>
      </c>
      <c r="F23" s="94">
        <f t="shared" si="3"/>
        <v>921</v>
      </c>
      <c r="G23" s="64">
        <f t="shared" si="4"/>
        <v>10131</v>
      </c>
      <c r="H23" s="112">
        <f>8779+19+1</f>
        <v>8799</v>
      </c>
      <c r="I23" s="60"/>
      <c r="J23" s="60"/>
      <c r="K23" s="57">
        <f t="shared" si="0"/>
        <v>1.2240000000000002</v>
      </c>
      <c r="L23" s="57">
        <f t="shared" si="1"/>
        <v>11273.040000000003</v>
      </c>
    </row>
    <row r="24" spans="1:12" ht="15.75" x14ac:dyDescent="0.25">
      <c r="A24" s="62"/>
      <c r="B24" s="62" t="s">
        <v>32</v>
      </c>
      <c r="C24" s="63" t="s">
        <v>30</v>
      </c>
      <c r="D24" s="58"/>
      <c r="E24" s="106">
        <v>95379</v>
      </c>
      <c r="F24" s="94">
        <f t="shared" si="3"/>
        <v>9537.9</v>
      </c>
      <c r="G24" s="64">
        <f t="shared" si="4"/>
        <v>104916.9</v>
      </c>
      <c r="H24" s="112">
        <f>89908+2786+202</f>
        <v>92896</v>
      </c>
      <c r="I24" s="60"/>
      <c r="J24" s="60"/>
      <c r="K24" s="57">
        <f t="shared" si="0"/>
        <v>1.2240000000000002</v>
      </c>
      <c r="L24" s="57">
        <f t="shared" si="1"/>
        <v>116743.89600000002</v>
      </c>
    </row>
    <row r="25" spans="1:12" ht="15.75" x14ac:dyDescent="0.25">
      <c r="A25" s="62"/>
      <c r="B25" s="62"/>
      <c r="C25" s="63" t="s">
        <v>28</v>
      </c>
      <c r="D25" s="58"/>
      <c r="E25" s="106">
        <v>10344</v>
      </c>
      <c r="F25" s="94">
        <f t="shared" si="3"/>
        <v>1034.4000000000001</v>
      </c>
      <c r="G25" s="64">
        <f t="shared" si="4"/>
        <v>11378.4</v>
      </c>
      <c r="H25" s="112">
        <f>9862+491+104</f>
        <v>10457</v>
      </c>
      <c r="I25" s="60"/>
      <c r="J25" s="60"/>
      <c r="K25" s="57">
        <f t="shared" si="0"/>
        <v>1.2240000000000002</v>
      </c>
      <c r="L25" s="57">
        <f t="shared" si="1"/>
        <v>12661.056000000002</v>
      </c>
    </row>
    <row r="26" spans="1:12" s="70" customFormat="1" ht="15.75" x14ac:dyDescent="0.25">
      <c r="A26" s="66">
        <v>2</v>
      </c>
      <c r="B26" s="66" t="s">
        <v>33</v>
      </c>
      <c r="C26" s="67" t="s">
        <v>21</v>
      </c>
      <c r="D26" s="229">
        <v>90487</v>
      </c>
      <c r="E26" s="105">
        <v>63753</v>
      </c>
      <c r="F26" s="93">
        <f>F27+F28+F29</f>
        <v>7646.4</v>
      </c>
      <c r="G26" s="68">
        <f>G27+G28+G29</f>
        <v>84110.399999999994</v>
      </c>
      <c r="H26" s="68">
        <f>SUM(H27:H29)</f>
        <v>78503</v>
      </c>
      <c r="I26" s="60">
        <f>G26/H26</f>
        <v>1.0714291173585722</v>
      </c>
      <c r="J26" s="73">
        <f>G26/D26</f>
        <v>0.92953020875926917</v>
      </c>
      <c r="K26" s="57">
        <f t="shared" si="0"/>
        <v>1.2240000000000002</v>
      </c>
      <c r="L26" s="57">
        <f t="shared" si="1"/>
        <v>78033.672000000006</v>
      </c>
    </row>
    <row r="27" spans="1:12" ht="15.75" x14ac:dyDescent="0.25">
      <c r="A27" s="62"/>
      <c r="B27" s="62" t="s">
        <v>29</v>
      </c>
      <c r="C27" s="63" t="s">
        <v>21</v>
      </c>
      <c r="D27" s="58"/>
      <c r="E27" s="106">
        <v>3567</v>
      </c>
      <c r="F27" s="94">
        <f>E27/10</f>
        <v>356.7</v>
      </c>
      <c r="G27" s="64">
        <f>E27+F27</f>
        <v>3923.7</v>
      </c>
      <c r="H27" s="112">
        <f>3895+69</f>
        <v>3964</v>
      </c>
      <c r="I27" s="60"/>
      <c r="J27" s="60"/>
      <c r="K27" s="57">
        <f t="shared" si="0"/>
        <v>1.2240000000000002</v>
      </c>
      <c r="L27" s="57">
        <f t="shared" si="1"/>
        <v>4366.0080000000007</v>
      </c>
    </row>
    <row r="28" spans="1:12" ht="15.75" x14ac:dyDescent="0.25">
      <c r="A28" s="62"/>
      <c r="B28" s="62" t="s">
        <v>34</v>
      </c>
      <c r="C28" s="63" t="s">
        <v>21</v>
      </c>
      <c r="D28" s="58"/>
      <c r="E28" s="106">
        <v>29406</v>
      </c>
      <c r="F28" s="94">
        <f>E28/10</f>
        <v>2940.6</v>
      </c>
      <c r="G28" s="64">
        <f>E28+F28</f>
        <v>32346.6</v>
      </c>
      <c r="H28" s="112">
        <f>29234+197+2</f>
        <v>29433</v>
      </c>
      <c r="I28" s="60"/>
      <c r="J28" s="60"/>
      <c r="K28" s="57">
        <f t="shared" si="0"/>
        <v>1.2240000000000002</v>
      </c>
      <c r="L28" s="57">
        <f t="shared" si="1"/>
        <v>35992.944000000003</v>
      </c>
    </row>
    <row r="29" spans="1:12" ht="15.75" customHeight="1" x14ac:dyDescent="0.25">
      <c r="A29" s="62"/>
      <c r="B29" s="62" t="s">
        <v>32</v>
      </c>
      <c r="C29" s="63" t="s">
        <v>21</v>
      </c>
      <c r="D29" s="58"/>
      <c r="E29" s="106">
        <v>43491</v>
      </c>
      <c r="F29" s="94">
        <f>E29/10</f>
        <v>4349.1000000000004</v>
      </c>
      <c r="G29" s="64">
        <f>E29+F29</f>
        <v>47840.1</v>
      </c>
      <c r="H29" s="112">
        <f>42684+2284+138</f>
        <v>45106</v>
      </c>
      <c r="I29" s="60"/>
      <c r="J29" s="60"/>
      <c r="K29" s="57">
        <f t="shared" si="0"/>
        <v>1.2240000000000002</v>
      </c>
      <c r="L29" s="57">
        <f t="shared" si="1"/>
        <v>53232.984000000011</v>
      </c>
    </row>
    <row r="30" spans="1:12" s="70" customFormat="1" ht="15.75" x14ac:dyDescent="0.25">
      <c r="A30" s="66">
        <v>3</v>
      </c>
      <c r="B30" s="66" t="s">
        <v>35</v>
      </c>
      <c r="C30" s="67" t="s">
        <v>21</v>
      </c>
      <c r="D30" s="201">
        <v>651947</v>
      </c>
      <c r="E30" s="105">
        <f>E31+E32+E33</f>
        <v>614537</v>
      </c>
      <c r="F30" s="93">
        <f>F31+F32+F33</f>
        <v>61453.7</v>
      </c>
      <c r="G30" s="68">
        <f>G31+G32+G33</f>
        <v>675990.7</v>
      </c>
      <c r="H30" s="68">
        <f>SUM(H31:H33)</f>
        <v>599440</v>
      </c>
      <c r="I30" s="60">
        <f>G30/H30</f>
        <v>1.12770369011077</v>
      </c>
      <c r="J30" s="73">
        <f>G30/D30</f>
        <v>1.036879838391771</v>
      </c>
      <c r="K30" s="57">
        <f t="shared" si="0"/>
        <v>1.2240000000000002</v>
      </c>
      <c r="L30" s="57">
        <f t="shared" si="1"/>
        <v>752193.28800000018</v>
      </c>
    </row>
    <row r="31" spans="1:12" ht="15.75" x14ac:dyDescent="0.25">
      <c r="A31" s="62"/>
      <c r="B31" s="62" t="s">
        <v>29</v>
      </c>
      <c r="C31" s="63" t="s">
        <v>21</v>
      </c>
      <c r="D31" s="58"/>
      <c r="E31" s="106">
        <v>89029</v>
      </c>
      <c r="F31" s="94">
        <f>E31/10</f>
        <v>8902.9</v>
      </c>
      <c r="G31" s="64">
        <f t="shared" si="4"/>
        <v>97931.9</v>
      </c>
      <c r="H31" s="112">
        <f>92824+4314+1123</f>
        <v>98261</v>
      </c>
      <c r="I31" s="60"/>
      <c r="J31" s="60"/>
      <c r="K31" s="57">
        <f t="shared" si="0"/>
        <v>1.2240000000000002</v>
      </c>
      <c r="L31" s="57">
        <f t="shared" si="1"/>
        <v>108971.49600000001</v>
      </c>
    </row>
    <row r="32" spans="1:12" ht="15.75" x14ac:dyDescent="0.25">
      <c r="A32" s="62"/>
      <c r="B32" s="62" t="s">
        <v>34</v>
      </c>
      <c r="C32" s="63" t="s">
        <v>21</v>
      </c>
      <c r="D32" s="58"/>
      <c r="E32" s="106">
        <v>128216</v>
      </c>
      <c r="F32" s="94">
        <f>E32/10</f>
        <v>12821.6</v>
      </c>
      <c r="G32" s="64">
        <f t="shared" si="4"/>
        <v>141037.6</v>
      </c>
      <c r="H32" s="112">
        <f>125021+4401+421</f>
        <v>129843</v>
      </c>
      <c r="I32" s="60"/>
      <c r="J32" s="60"/>
      <c r="K32" s="57">
        <f t="shared" si="0"/>
        <v>1.2240000000000002</v>
      </c>
      <c r="L32" s="57">
        <f t="shared" si="1"/>
        <v>156936.38400000002</v>
      </c>
    </row>
    <row r="33" spans="1:12" ht="15.75" customHeight="1" x14ac:dyDescent="0.25">
      <c r="A33" s="62"/>
      <c r="B33" s="62" t="s">
        <v>32</v>
      </c>
      <c r="C33" s="63" t="s">
        <v>21</v>
      </c>
      <c r="D33" s="58"/>
      <c r="E33" s="106">
        <v>397292</v>
      </c>
      <c r="F33" s="94">
        <f>E33/10</f>
        <v>39729.199999999997</v>
      </c>
      <c r="G33" s="64">
        <f t="shared" si="4"/>
        <v>437021.2</v>
      </c>
      <c r="H33" s="112">
        <f>223708+137965+9663</f>
        <v>371336</v>
      </c>
      <c r="I33" s="60"/>
      <c r="J33" s="60"/>
      <c r="K33" s="57">
        <f t="shared" si="0"/>
        <v>1.2240000000000002</v>
      </c>
      <c r="L33" s="57">
        <f t="shared" si="1"/>
        <v>486285.40800000005</v>
      </c>
    </row>
    <row r="34" spans="1:12" s="70" customFormat="1" ht="15.75" x14ac:dyDescent="0.25">
      <c r="A34" s="66">
        <v>4</v>
      </c>
      <c r="B34" s="66" t="s">
        <v>25</v>
      </c>
      <c r="C34" s="67" t="s">
        <v>21</v>
      </c>
      <c r="D34" s="201">
        <v>89834</v>
      </c>
      <c r="E34" s="107">
        <v>87890</v>
      </c>
      <c r="F34" s="95">
        <f>E34/10</f>
        <v>8789</v>
      </c>
      <c r="G34" s="68">
        <f>F34+E34</f>
        <v>96679</v>
      </c>
      <c r="H34" s="113">
        <v>73867</v>
      </c>
      <c r="I34" s="60">
        <f>G34/H34</f>
        <v>1.3088253211853738</v>
      </c>
      <c r="J34" s="73">
        <f>G34/D34</f>
        <v>1.0761960950197029</v>
      </c>
      <c r="K34" s="57">
        <f t="shared" si="0"/>
        <v>1.2240000000000002</v>
      </c>
      <c r="L34" s="57">
        <f t="shared" si="1"/>
        <v>107577.36000000002</v>
      </c>
    </row>
    <row r="35" spans="1:12" x14ac:dyDescent="0.25">
      <c r="A35" s="62"/>
      <c r="B35" s="62"/>
      <c r="C35" s="63"/>
      <c r="D35" s="143"/>
      <c r="E35" s="62"/>
      <c r="F35" s="62"/>
      <c r="G35" s="62"/>
      <c r="H35" s="64"/>
      <c r="I35" s="75"/>
      <c r="J35" s="75"/>
      <c r="K35" s="57">
        <f t="shared" si="0"/>
        <v>1.2240000000000002</v>
      </c>
      <c r="L35" s="57">
        <f t="shared" si="1"/>
        <v>0</v>
      </c>
    </row>
    <row r="36" spans="1:12" x14ac:dyDescent="0.25">
      <c r="A36" s="76"/>
      <c r="B36" s="76"/>
      <c r="C36" s="77"/>
      <c r="D36" s="78"/>
      <c r="E36" s="76"/>
      <c r="F36" s="76"/>
      <c r="G36" s="76"/>
      <c r="H36" s="78"/>
      <c r="I36" s="76"/>
      <c r="J36" s="76"/>
    </row>
    <row r="37" spans="1:12" ht="16.5" customHeight="1" x14ac:dyDescent="0.25">
      <c r="A37" s="246"/>
      <c r="B37" s="246"/>
      <c r="C37" s="77"/>
      <c r="D37" s="78"/>
      <c r="E37" s="76"/>
      <c r="F37" s="76"/>
      <c r="G37" s="76"/>
      <c r="H37" s="78"/>
      <c r="I37" s="76"/>
      <c r="J37" s="76"/>
    </row>
    <row r="38" spans="1:12" ht="39.75" customHeight="1" x14ac:dyDescent="0.25">
      <c r="A38" s="260"/>
      <c r="B38" s="260"/>
      <c r="C38" s="260"/>
      <c r="D38" s="260"/>
      <c r="E38" s="260"/>
      <c r="F38" s="260"/>
      <c r="G38" s="260"/>
      <c r="H38" s="260"/>
      <c r="I38" s="260"/>
      <c r="J38" s="260"/>
    </row>
    <row r="39" spans="1:12" ht="15.75" x14ac:dyDescent="0.25">
      <c r="A39" s="79"/>
      <c r="B39" s="79"/>
      <c r="C39" s="77"/>
      <c r="D39" s="78"/>
      <c r="E39" s="76"/>
      <c r="F39" s="76"/>
      <c r="G39" s="76"/>
      <c r="H39" s="78"/>
      <c r="I39" s="76"/>
      <c r="J39" s="76"/>
    </row>
    <row r="40" spans="1:12" ht="15.75" x14ac:dyDescent="0.25">
      <c r="A40" s="79"/>
      <c r="B40" s="79"/>
      <c r="C40" s="77"/>
      <c r="D40" s="78"/>
      <c r="E40" s="76"/>
      <c r="F40" s="76"/>
      <c r="G40" s="76"/>
      <c r="H40" s="78"/>
      <c r="I40" s="76"/>
      <c r="J40" s="76"/>
    </row>
    <row r="41" spans="1:12" ht="15.75" x14ac:dyDescent="0.25">
      <c r="A41" s="79"/>
      <c r="B41" s="79"/>
      <c r="C41" s="77"/>
      <c r="D41" s="78"/>
      <c r="E41" s="76"/>
      <c r="F41" s="76"/>
      <c r="G41" s="76"/>
      <c r="H41" s="78"/>
      <c r="I41" s="76"/>
      <c r="J41" s="76"/>
    </row>
    <row r="42" spans="1:12" ht="15.75" x14ac:dyDescent="0.25">
      <c r="A42" s="79"/>
      <c r="B42" s="79"/>
      <c r="C42" s="77"/>
      <c r="D42" s="78"/>
      <c r="E42" s="76"/>
      <c r="F42" s="76"/>
      <c r="G42" s="76"/>
      <c r="H42" s="78"/>
      <c r="I42" s="76"/>
      <c r="J42" s="76"/>
    </row>
    <row r="43" spans="1:12" ht="15.75" x14ac:dyDescent="0.25">
      <c r="A43" s="246"/>
      <c r="B43" s="246"/>
      <c r="C43" s="77"/>
      <c r="D43" s="78"/>
      <c r="E43" s="76"/>
      <c r="F43" s="76"/>
      <c r="G43" s="76"/>
      <c r="H43" s="78"/>
      <c r="I43" s="76"/>
      <c r="J43" s="76"/>
    </row>
    <row r="44" spans="1:12" ht="15.75" x14ac:dyDescent="0.25">
      <c r="A44" s="241"/>
      <c r="B44" s="241"/>
      <c r="C44" s="77"/>
      <c r="D44" s="78"/>
      <c r="E44" s="76"/>
      <c r="F44" s="76"/>
      <c r="G44" s="76"/>
      <c r="H44" s="78"/>
      <c r="I44" s="76"/>
      <c r="J44" s="76"/>
    </row>
    <row r="45" spans="1:12" x14ac:dyDescent="0.25">
      <c r="A45" s="76"/>
      <c r="B45" s="76"/>
      <c r="C45" s="77"/>
      <c r="D45" s="78"/>
      <c r="E45" s="76"/>
      <c r="F45" s="76"/>
      <c r="G45" s="76"/>
      <c r="H45" s="78"/>
      <c r="I45" s="76"/>
      <c r="J45" s="76"/>
    </row>
    <row r="46" spans="1:12" x14ac:dyDescent="0.25">
      <c r="A46" s="76"/>
      <c r="B46" s="76"/>
      <c r="C46" s="77"/>
      <c r="D46" s="78"/>
      <c r="E46" s="76"/>
      <c r="F46" s="76"/>
      <c r="G46" s="76"/>
      <c r="H46" s="78"/>
      <c r="I46" s="76"/>
      <c r="J46" s="76"/>
    </row>
    <row r="47" spans="1:12" x14ac:dyDescent="0.25">
      <c r="A47" s="76"/>
      <c r="B47" s="76"/>
      <c r="C47" s="77"/>
      <c r="D47" s="78"/>
      <c r="E47" s="76"/>
      <c r="F47" s="76"/>
      <c r="G47" s="76"/>
      <c r="H47" s="78"/>
      <c r="I47" s="76"/>
      <c r="J47" s="76"/>
    </row>
    <row r="48" spans="1:12"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row r="56" spans="1:10" x14ac:dyDescent="0.25">
      <c r="A56" s="76"/>
      <c r="B56" s="76"/>
      <c r="C56" s="77"/>
      <c r="D56" s="78"/>
      <c r="E56" s="76"/>
      <c r="F56" s="76"/>
      <c r="G56" s="76"/>
      <c r="H56" s="78"/>
      <c r="I56" s="76"/>
      <c r="J56" s="76"/>
    </row>
  </sheetData>
  <mergeCells count="12">
    <mergeCell ref="A37:B37"/>
    <mergeCell ref="A43:B43"/>
    <mergeCell ref="A44:B44"/>
    <mergeCell ref="A1:J1"/>
    <mergeCell ref="A6:J6"/>
    <mergeCell ref="A7:J7"/>
    <mergeCell ref="A9:A10"/>
    <mergeCell ref="B9:B10"/>
    <mergeCell ref="C9:C10"/>
    <mergeCell ref="D9:D10"/>
    <mergeCell ref="E9:J9"/>
    <mergeCell ref="A38:J38"/>
  </mergeCells>
  <pageMargins left="0.45" right="0.45" top="0.25" bottom="0.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1:L56"/>
  <sheetViews>
    <sheetView zoomScale="80" zoomScaleNormal="80" workbookViewId="0">
      <selection sqref="A1:J37"/>
    </sheetView>
  </sheetViews>
  <sheetFormatPr defaultRowHeight="15" x14ac:dyDescent="0.25"/>
  <cols>
    <col min="1" max="1" width="4.28515625" customWidth="1"/>
    <col min="2" max="2" width="16.140625" customWidth="1"/>
    <col min="3" max="3" width="10.28515625" style="34" bestFit="1" customWidth="1"/>
    <col min="4" max="4" width="12" style="4" customWidth="1"/>
    <col min="5" max="5" width="10.85546875" customWidth="1"/>
    <col min="6" max="6" width="10" customWidth="1"/>
    <col min="7" max="7" width="11.5703125" customWidth="1"/>
    <col min="8" max="8" width="10.140625" style="4" customWidth="1"/>
    <col min="9" max="9" width="8.85546875" customWidth="1"/>
    <col min="10" max="10" width="8" customWidth="1"/>
  </cols>
  <sheetData>
    <row r="1" spans="1:10" ht="18.75" x14ac:dyDescent="0.3">
      <c r="A1" s="234" t="s">
        <v>37</v>
      </c>
      <c r="B1" s="234"/>
      <c r="C1" s="234"/>
      <c r="D1" s="234"/>
      <c r="E1" s="234"/>
      <c r="F1" s="234"/>
      <c r="G1" s="234"/>
      <c r="H1" s="234"/>
      <c r="I1" s="234"/>
      <c r="J1" s="234"/>
    </row>
    <row r="2" spans="1:10" x14ac:dyDescent="0.25">
      <c r="A2" s="1" t="s">
        <v>0</v>
      </c>
      <c r="B2" s="1"/>
      <c r="C2" s="2"/>
      <c r="D2" s="3"/>
      <c r="E2" s="1"/>
      <c r="F2" s="1"/>
      <c r="G2" s="49" t="s">
        <v>83</v>
      </c>
      <c r="H2" s="3"/>
      <c r="I2" s="1"/>
      <c r="J2" s="1"/>
    </row>
    <row r="3" spans="1:10" x14ac:dyDescent="0.25">
      <c r="A3" s="35" t="s">
        <v>89</v>
      </c>
      <c r="B3" s="1"/>
      <c r="C3" s="2"/>
      <c r="D3" s="3"/>
      <c r="E3" s="1"/>
      <c r="F3" s="1"/>
      <c r="G3" s="49" t="s">
        <v>84</v>
      </c>
      <c r="H3" s="3"/>
      <c r="I3" s="1"/>
      <c r="J3" s="1"/>
    </row>
    <row r="4" spans="1:10" x14ac:dyDescent="0.25">
      <c r="A4" s="1"/>
      <c r="B4" s="1"/>
      <c r="C4" s="2"/>
      <c r="D4" s="3"/>
      <c r="E4" s="1"/>
      <c r="F4" s="1"/>
      <c r="G4" s="1"/>
      <c r="H4" s="3"/>
      <c r="I4" s="1"/>
      <c r="J4" s="1"/>
    </row>
    <row r="6" spans="1:10" ht="16.5" x14ac:dyDescent="0.25">
      <c r="A6" s="237" t="s">
        <v>3</v>
      </c>
      <c r="B6" s="237"/>
      <c r="C6" s="237"/>
      <c r="D6" s="237"/>
      <c r="E6" s="237"/>
      <c r="F6" s="237"/>
      <c r="G6" s="237"/>
      <c r="H6" s="237"/>
      <c r="I6" s="237"/>
      <c r="J6" s="237"/>
    </row>
    <row r="7" spans="1:10" ht="16.5" x14ac:dyDescent="0.25">
      <c r="A7" s="237" t="s">
        <v>90</v>
      </c>
      <c r="B7" s="237"/>
      <c r="C7" s="237"/>
      <c r="D7" s="237"/>
      <c r="E7" s="237"/>
      <c r="F7" s="237"/>
      <c r="G7" s="237"/>
      <c r="H7" s="237"/>
      <c r="I7" s="237"/>
      <c r="J7" s="237"/>
    </row>
    <row r="9" spans="1:10" ht="15" customHeight="1" x14ac:dyDescent="0.25">
      <c r="A9" s="261" t="s">
        <v>4</v>
      </c>
      <c r="B9" s="261" t="s">
        <v>5</v>
      </c>
      <c r="C9" s="261" t="s">
        <v>6</v>
      </c>
      <c r="D9" s="263" t="s">
        <v>7</v>
      </c>
      <c r="E9" s="265" t="s">
        <v>8</v>
      </c>
      <c r="F9" s="266"/>
      <c r="G9" s="266"/>
      <c r="H9" s="266"/>
      <c r="I9" s="266"/>
      <c r="J9" s="267"/>
    </row>
    <row r="10" spans="1:10" ht="85.5" x14ac:dyDescent="0.25">
      <c r="A10" s="262"/>
      <c r="B10" s="262"/>
      <c r="C10" s="262"/>
      <c r="D10" s="264"/>
      <c r="E10" s="7" t="s">
        <v>9</v>
      </c>
      <c r="F10" s="108" t="s">
        <v>10</v>
      </c>
      <c r="G10" s="7" t="s">
        <v>11</v>
      </c>
      <c r="H10" s="8" t="s">
        <v>12</v>
      </c>
      <c r="I10" s="7" t="s">
        <v>13</v>
      </c>
      <c r="J10" s="7" t="s">
        <v>14</v>
      </c>
    </row>
    <row r="11" spans="1:10" x14ac:dyDescent="0.25">
      <c r="A11" s="7" t="s">
        <v>15</v>
      </c>
      <c r="B11" s="7" t="s">
        <v>16</v>
      </c>
      <c r="C11" s="7" t="s">
        <v>17</v>
      </c>
      <c r="D11" s="109">
        <v>1</v>
      </c>
      <c r="E11" s="7">
        <v>2</v>
      </c>
      <c r="F11" s="108">
        <v>3</v>
      </c>
      <c r="G11" s="7">
        <v>4</v>
      </c>
      <c r="H11" s="8">
        <v>5</v>
      </c>
      <c r="I11" s="7" t="s">
        <v>18</v>
      </c>
      <c r="J11" s="7" t="s">
        <v>19</v>
      </c>
    </row>
    <row r="12" spans="1:10" s="13" customFormat="1" ht="15.75" x14ac:dyDescent="0.25">
      <c r="A12" s="9"/>
      <c r="B12" s="9" t="s">
        <v>20</v>
      </c>
      <c r="C12" s="10" t="s">
        <v>21</v>
      </c>
      <c r="D12" s="58">
        <v>1064879</v>
      </c>
      <c r="E12" s="11">
        <f>E13+E14+E15+E16</f>
        <v>1073507</v>
      </c>
      <c r="F12" s="97">
        <f>F13+F14+F15+F16</f>
        <v>98143.628181818189</v>
      </c>
      <c r="G12" s="11">
        <f>G13+G14+G15+G16</f>
        <v>1171755.6281818182</v>
      </c>
      <c r="H12" s="11">
        <f>H13+H14+H15+H16</f>
        <v>1050021</v>
      </c>
      <c r="I12" s="12">
        <f>G12/H12</f>
        <v>1.1159354224170928</v>
      </c>
      <c r="J12" s="12">
        <f>G12/D12</f>
        <v>1.1003650444621578</v>
      </c>
    </row>
    <row r="13" spans="1:10" ht="15.75" x14ac:dyDescent="0.25">
      <c r="A13" s="15"/>
      <c r="B13" s="15" t="s">
        <v>22</v>
      </c>
      <c r="C13" s="16" t="s">
        <v>21</v>
      </c>
      <c r="D13" s="58"/>
      <c r="E13" s="17">
        <f>E20+E27+E31</f>
        <v>198122</v>
      </c>
      <c r="F13" s="98">
        <f>F20+F27+F31</f>
        <v>18191.20181818182</v>
      </c>
      <c r="G13" s="17">
        <f>G20+G27+G31</f>
        <v>216313.20181818184</v>
      </c>
      <c r="H13" s="17">
        <f>H20+H27+H31</f>
        <v>207933</v>
      </c>
      <c r="I13" s="12">
        <f t="shared" ref="I13:I15" si="0">G13/H13</f>
        <v>1.0403024138457189</v>
      </c>
      <c r="J13" s="12"/>
    </row>
    <row r="14" spans="1:10" ht="15.75" x14ac:dyDescent="0.25">
      <c r="A14" s="15"/>
      <c r="B14" s="15" t="s">
        <v>23</v>
      </c>
      <c r="C14" s="16" t="s">
        <v>21</v>
      </c>
      <c r="D14" s="58"/>
      <c r="E14" s="17">
        <f>E22+E28+E32</f>
        <v>272485</v>
      </c>
      <c r="F14" s="98">
        <f>F22+F28+F32</f>
        <v>25019.077272727274</v>
      </c>
      <c r="G14" s="17">
        <f>G22+G28+G32</f>
        <v>297504.07727272727</v>
      </c>
      <c r="H14" s="17">
        <f>H22+H28+H32</f>
        <v>273589</v>
      </c>
      <c r="I14" s="12">
        <f t="shared" si="0"/>
        <v>1.0874124225488864</v>
      </c>
      <c r="J14" s="12"/>
    </row>
    <row r="15" spans="1:10" ht="15.75" x14ac:dyDescent="0.25">
      <c r="A15" s="15"/>
      <c r="B15" s="15" t="s">
        <v>24</v>
      </c>
      <c r="C15" s="16" t="s">
        <v>21</v>
      </c>
      <c r="D15" s="58"/>
      <c r="E15" s="17">
        <f>E24+E29+E33</f>
        <v>598284</v>
      </c>
      <c r="F15" s="98">
        <f>F24+F29+F33</f>
        <v>54933.349090909091</v>
      </c>
      <c r="G15" s="17">
        <f>G24+G29+G33</f>
        <v>653217.34909090912</v>
      </c>
      <c r="H15" s="17">
        <f>H24+H29+H33</f>
        <v>563652</v>
      </c>
      <c r="I15" s="12">
        <f t="shared" si="0"/>
        <v>1.1589018562710842</v>
      </c>
      <c r="J15" s="12"/>
    </row>
    <row r="16" spans="1:10" ht="15.75" x14ac:dyDescent="0.25">
      <c r="A16" s="15"/>
      <c r="B16" s="42" t="s">
        <v>43</v>
      </c>
      <c r="C16" s="16" t="s">
        <v>21</v>
      </c>
      <c r="D16" s="58"/>
      <c r="E16" s="17">
        <v>4616</v>
      </c>
      <c r="F16" s="98">
        <v>0</v>
      </c>
      <c r="G16" s="17">
        <v>4721</v>
      </c>
      <c r="H16" s="65">
        <v>4847</v>
      </c>
      <c r="I16" s="12"/>
      <c r="J16" s="12"/>
    </row>
    <row r="17" spans="1:12" ht="15.75" x14ac:dyDescent="0.25">
      <c r="A17" s="15"/>
      <c r="B17" s="15" t="s">
        <v>26</v>
      </c>
      <c r="C17" s="16"/>
      <c r="D17" s="189" t="s">
        <v>52</v>
      </c>
      <c r="E17" s="17"/>
      <c r="F17" s="98"/>
      <c r="G17" s="17"/>
      <c r="H17" s="39"/>
      <c r="I17" s="12"/>
      <c r="J17" s="12"/>
    </row>
    <row r="18" spans="1:12" s="24" customFormat="1" ht="15.75" x14ac:dyDescent="0.25">
      <c r="A18" s="20">
        <v>1</v>
      </c>
      <c r="B18" s="20" t="s">
        <v>27</v>
      </c>
      <c r="C18" s="21" t="s">
        <v>21</v>
      </c>
      <c r="D18" s="201">
        <v>317261</v>
      </c>
      <c r="E18" s="22">
        <f>E20+E22+E24</f>
        <v>303037</v>
      </c>
      <c r="F18" s="99">
        <f t="shared" ref="E18:G19" si="1">F20+F22+F24</f>
        <v>27824.306363636366</v>
      </c>
      <c r="G18" s="22">
        <f t="shared" si="1"/>
        <v>330861.30636363639</v>
      </c>
      <c r="H18" s="22">
        <f>H20+H22+H24</f>
        <v>298004</v>
      </c>
      <c r="I18" s="12">
        <f t="shared" ref="I18:I34" si="2">G18/H18</f>
        <v>1.1102579373553254</v>
      </c>
      <c r="J18" s="12"/>
    </row>
    <row r="19" spans="1:12" ht="15.75" customHeight="1" thickBot="1" x14ac:dyDescent="0.3">
      <c r="A19" s="20"/>
      <c r="B19" s="20"/>
      <c r="C19" s="21" t="s">
        <v>28</v>
      </c>
      <c r="D19" s="201">
        <v>32555</v>
      </c>
      <c r="E19" s="22">
        <f t="shared" si="1"/>
        <v>31469</v>
      </c>
      <c r="F19" s="99">
        <f t="shared" si="1"/>
        <v>2889.4263636363635</v>
      </c>
      <c r="G19" s="22">
        <f t="shared" si="1"/>
        <v>34358.426363636361</v>
      </c>
      <c r="H19" s="22">
        <f>H21+H23+H25</f>
        <v>30578</v>
      </c>
      <c r="I19" s="12">
        <f t="shared" si="2"/>
        <v>1.1236322311346838</v>
      </c>
      <c r="J19" s="12">
        <f>G19/D19</f>
        <v>1.0553962943829323</v>
      </c>
    </row>
    <row r="20" spans="1:12" ht="15.75" customHeight="1" thickBot="1" x14ac:dyDescent="0.3">
      <c r="A20" s="15"/>
      <c r="B20" s="15" t="s">
        <v>29</v>
      </c>
      <c r="C20" s="16" t="s">
        <v>30</v>
      </c>
      <c r="D20" s="58"/>
      <c r="E20" s="112">
        <v>96162</v>
      </c>
      <c r="F20" s="100">
        <f>E20/11*1.01</f>
        <v>8829.42</v>
      </c>
      <c r="G20" s="17">
        <f>E20+F20</f>
        <v>104991.42</v>
      </c>
      <c r="H20" s="65">
        <v>97224</v>
      </c>
      <c r="I20" s="12"/>
      <c r="J20" s="12"/>
      <c r="K20" s="233">
        <v>88445</v>
      </c>
      <c r="L20" s="82">
        <f>E20/K20</f>
        <v>1.0872519644977103</v>
      </c>
    </row>
    <row r="21" spans="1:12" ht="15.75" customHeight="1" thickBot="1" x14ac:dyDescent="0.3">
      <c r="A21" s="15"/>
      <c r="B21" s="15"/>
      <c r="C21" s="16" t="s">
        <v>28</v>
      </c>
      <c r="D21" s="58"/>
      <c r="E21" s="112">
        <v>9756</v>
      </c>
      <c r="F21" s="100">
        <f>E21/11*1.01</f>
        <v>895.77818181818179</v>
      </c>
      <c r="G21" s="17">
        <f t="shared" ref="G21:G25" si="3">E21+F21</f>
        <v>10651.778181818181</v>
      </c>
      <c r="H21" s="65">
        <v>9608</v>
      </c>
      <c r="I21" s="12"/>
      <c r="J21" s="12"/>
      <c r="K21" s="179">
        <v>8734</v>
      </c>
      <c r="L21" s="82">
        <f t="shared" ref="L21:L25" si="4">E21/K21</f>
        <v>1.1170139683993587</v>
      </c>
    </row>
    <row r="22" spans="1:12" ht="16.5" thickBot="1" x14ac:dyDescent="0.3">
      <c r="A22" s="15"/>
      <c r="B22" s="15" t="s">
        <v>31</v>
      </c>
      <c r="C22" s="16" t="s">
        <v>30</v>
      </c>
      <c r="D22" s="58"/>
      <c r="E22" s="112">
        <v>100878</v>
      </c>
      <c r="F22" s="100">
        <f>E22/11*1.01</f>
        <v>9262.4345454545455</v>
      </c>
      <c r="G22" s="17">
        <f t="shared" si="3"/>
        <v>110140.43454545454</v>
      </c>
      <c r="H22" s="65">
        <v>99003</v>
      </c>
      <c r="I22" s="12"/>
      <c r="J22" s="12"/>
      <c r="K22" s="179">
        <v>89675</v>
      </c>
      <c r="L22" s="82">
        <f t="shared" si="4"/>
        <v>1.1249289099526065</v>
      </c>
    </row>
    <row r="23" spans="1:12" ht="16.5" thickBot="1" x14ac:dyDescent="0.3">
      <c r="A23" s="15"/>
      <c r="B23" s="15"/>
      <c r="C23" s="16" t="s">
        <v>28</v>
      </c>
      <c r="D23" s="58"/>
      <c r="E23" s="112">
        <v>10188</v>
      </c>
      <c r="F23" s="100">
        <f>E23*1.01/11</f>
        <v>935.4436363636363</v>
      </c>
      <c r="G23" s="17">
        <f t="shared" si="3"/>
        <v>11123.443636363636</v>
      </c>
      <c r="H23" s="65">
        <v>9752</v>
      </c>
      <c r="I23" s="12"/>
      <c r="J23" s="12"/>
      <c r="K23" s="179">
        <v>8799</v>
      </c>
      <c r="L23" s="82">
        <f t="shared" si="4"/>
        <v>1.1578588475963179</v>
      </c>
    </row>
    <row r="24" spans="1:12" ht="16.5" thickBot="1" x14ac:dyDescent="0.3">
      <c r="A24" s="15"/>
      <c r="B24" s="15" t="s">
        <v>32</v>
      </c>
      <c r="C24" s="16" t="s">
        <v>30</v>
      </c>
      <c r="D24" s="58"/>
      <c r="E24" s="112">
        <v>105997</v>
      </c>
      <c r="F24" s="100">
        <f>E24*1.01/11</f>
        <v>9732.4518181818185</v>
      </c>
      <c r="G24" s="17">
        <f t="shared" si="3"/>
        <v>115729.45181818181</v>
      </c>
      <c r="H24" s="65">
        <v>101777</v>
      </c>
      <c r="I24" s="12"/>
      <c r="J24" s="12"/>
      <c r="K24" s="179">
        <v>92896</v>
      </c>
      <c r="L24" s="82">
        <f t="shared" si="4"/>
        <v>1.1410286772304512</v>
      </c>
    </row>
    <row r="25" spans="1:12" ht="16.5" thickBot="1" x14ac:dyDescent="0.3">
      <c r="A25" s="15"/>
      <c r="B25" s="15"/>
      <c r="C25" s="16" t="s">
        <v>28</v>
      </c>
      <c r="D25" s="58"/>
      <c r="E25" s="112">
        <v>11525</v>
      </c>
      <c r="F25" s="100">
        <f>E25*1.01/11</f>
        <v>1058.2045454545455</v>
      </c>
      <c r="G25" s="17">
        <f t="shared" si="3"/>
        <v>12583.204545454546</v>
      </c>
      <c r="H25" s="65">
        <v>11218</v>
      </c>
      <c r="I25" s="12"/>
      <c r="J25" s="12"/>
      <c r="K25" s="179">
        <v>10457</v>
      </c>
      <c r="L25" s="82">
        <f t="shared" si="4"/>
        <v>1.1021325427943005</v>
      </c>
    </row>
    <row r="26" spans="1:12" s="24" customFormat="1" ht="15.75" x14ac:dyDescent="0.25">
      <c r="A26" s="20">
        <v>2</v>
      </c>
      <c r="B26" s="20" t="s">
        <v>33</v>
      </c>
      <c r="C26" s="21" t="s">
        <v>21</v>
      </c>
      <c r="D26" s="229">
        <v>90487</v>
      </c>
      <c r="E26" s="22">
        <f>E27+E28+E29</f>
        <v>85369</v>
      </c>
      <c r="F26" s="99">
        <f>F27+F28+F29</f>
        <v>7838.426363636363</v>
      </c>
      <c r="G26" s="22">
        <f>G27+G28+G29</f>
        <v>93207.426363636361</v>
      </c>
      <c r="H26" s="22">
        <v>78025</v>
      </c>
      <c r="I26" s="12">
        <f t="shared" si="2"/>
        <v>1.1945841251347178</v>
      </c>
      <c r="J26" s="23">
        <f>G26/D26</f>
        <v>1.0300642784448193</v>
      </c>
    </row>
    <row r="27" spans="1:12" ht="15.75" x14ac:dyDescent="0.25">
      <c r="A27" s="15"/>
      <c r="B27" s="15" t="s">
        <v>29</v>
      </c>
      <c r="C27" s="16" t="s">
        <v>21</v>
      </c>
      <c r="D27" s="58"/>
      <c r="E27" s="112">
        <v>4056</v>
      </c>
      <c r="F27" s="100">
        <f>E27*1.01/11</f>
        <v>372.41454545454548</v>
      </c>
      <c r="G27" s="17">
        <f>E27+F27</f>
        <v>4428.4145454545451</v>
      </c>
      <c r="H27" s="65">
        <v>4333</v>
      </c>
      <c r="I27" s="12"/>
      <c r="J27" s="12"/>
    </row>
    <row r="28" spans="1:12" ht="15.75" x14ac:dyDescent="0.25">
      <c r="A28" s="15"/>
      <c r="B28" s="15" t="s">
        <v>34</v>
      </c>
      <c r="C28" s="16" t="s">
        <v>21</v>
      </c>
      <c r="D28" s="58"/>
      <c r="E28" s="112">
        <v>32450</v>
      </c>
      <c r="F28" s="100">
        <f>E28*1.01/11</f>
        <v>2979.5</v>
      </c>
      <c r="G28" s="17">
        <f t="shared" ref="G28:G29" si="5">E28+F28</f>
        <v>35429.5</v>
      </c>
      <c r="H28" s="65">
        <v>32032</v>
      </c>
      <c r="I28" s="12"/>
      <c r="J28" s="12"/>
    </row>
    <row r="29" spans="1:12" ht="15.75" customHeight="1" x14ac:dyDescent="0.25">
      <c r="A29" s="15"/>
      <c r="B29" s="15" t="s">
        <v>32</v>
      </c>
      <c r="C29" s="16" t="s">
        <v>21</v>
      </c>
      <c r="D29" s="58"/>
      <c r="E29" s="112">
        <v>48863</v>
      </c>
      <c r="F29" s="100">
        <f>E29*1.01/11</f>
        <v>4486.5118181818179</v>
      </c>
      <c r="G29" s="17">
        <f t="shared" si="5"/>
        <v>53349.511818181818</v>
      </c>
      <c r="H29" s="65">
        <v>49803</v>
      </c>
      <c r="I29" s="12"/>
      <c r="J29" s="12"/>
    </row>
    <row r="30" spans="1:12" s="24" customFormat="1" ht="15.75" x14ac:dyDescent="0.25">
      <c r="A30" s="20">
        <v>3</v>
      </c>
      <c r="B30" s="20" t="s">
        <v>35</v>
      </c>
      <c r="C30" s="21" t="s">
        <v>21</v>
      </c>
      <c r="D30" s="201">
        <v>651947</v>
      </c>
      <c r="E30" s="22">
        <f>E31+E32+E33</f>
        <v>680485</v>
      </c>
      <c r="F30" s="99">
        <f>F31+F32+F33</f>
        <v>62480.895454545454</v>
      </c>
      <c r="G30" s="22">
        <f>G31+G32+G33</f>
        <v>742965.89545454551</v>
      </c>
      <c r="H30" s="22">
        <v>372560</v>
      </c>
      <c r="I30" s="12">
        <f t="shared" si="2"/>
        <v>1.9942181003181918</v>
      </c>
      <c r="J30" s="23">
        <f>G30/D30</f>
        <v>1.1396108816430561</v>
      </c>
    </row>
    <row r="31" spans="1:12" ht="15.75" x14ac:dyDescent="0.25">
      <c r="A31" s="15"/>
      <c r="B31" s="15" t="s">
        <v>29</v>
      </c>
      <c r="C31" s="16" t="s">
        <v>21</v>
      </c>
      <c r="D31" s="58"/>
      <c r="E31" s="112">
        <v>97904</v>
      </c>
      <c r="F31" s="100">
        <f>E31*1.01/11</f>
        <v>8989.3672727272733</v>
      </c>
      <c r="G31" s="17">
        <f>E31+F31</f>
        <v>106893.36727272728</v>
      </c>
      <c r="H31" s="65">
        <v>106376</v>
      </c>
      <c r="I31" s="12"/>
      <c r="J31" s="12"/>
    </row>
    <row r="32" spans="1:12" ht="15.75" x14ac:dyDescent="0.25">
      <c r="A32" s="15"/>
      <c r="B32" s="15" t="s">
        <v>34</v>
      </c>
      <c r="C32" s="16" t="s">
        <v>21</v>
      </c>
      <c r="D32" s="58"/>
      <c r="E32" s="112">
        <v>139157</v>
      </c>
      <c r="F32" s="100">
        <f>E32*1.01/11</f>
        <v>12777.142727272729</v>
      </c>
      <c r="G32" s="17">
        <f t="shared" ref="G32:G34" si="6">E32+F32</f>
        <v>151934.14272727273</v>
      </c>
      <c r="H32" s="65">
        <v>142554</v>
      </c>
      <c r="I32" s="12"/>
      <c r="J32" s="12"/>
    </row>
    <row r="33" spans="1:10" ht="15.75" customHeight="1" x14ac:dyDescent="0.25">
      <c r="A33" s="15"/>
      <c r="B33" s="15" t="s">
        <v>32</v>
      </c>
      <c r="C33" s="16" t="s">
        <v>21</v>
      </c>
      <c r="D33" s="58"/>
      <c r="E33" s="112">
        <v>443424</v>
      </c>
      <c r="F33" s="100">
        <f>E33*1.01/11</f>
        <v>40714.385454545452</v>
      </c>
      <c r="G33" s="17">
        <f t="shared" si="6"/>
        <v>484138.38545454544</v>
      </c>
      <c r="H33" s="65">
        <v>412072</v>
      </c>
      <c r="I33" s="12"/>
      <c r="J33" s="12"/>
    </row>
    <row r="34" spans="1:10" s="24" customFormat="1" ht="15.75" x14ac:dyDescent="0.25">
      <c r="A34" s="20">
        <v>4</v>
      </c>
      <c r="B34" s="20" t="s">
        <v>25</v>
      </c>
      <c r="C34" s="21" t="s">
        <v>21</v>
      </c>
      <c r="D34" s="201">
        <v>89834</v>
      </c>
      <c r="E34" s="113">
        <v>99033</v>
      </c>
      <c r="F34" s="232">
        <f>E34/11</f>
        <v>9003</v>
      </c>
      <c r="G34" s="231">
        <f t="shared" si="6"/>
        <v>108036</v>
      </c>
      <c r="H34" s="69">
        <v>83980</v>
      </c>
      <c r="I34" s="12">
        <f t="shared" si="2"/>
        <v>1.2864491545606096</v>
      </c>
      <c r="J34" s="23">
        <f>G34/D34</f>
        <v>1.2026181623884054</v>
      </c>
    </row>
    <row r="35" spans="1:10" x14ac:dyDescent="0.25">
      <c r="A35" s="15"/>
      <c r="B35" s="15"/>
      <c r="C35" s="16"/>
      <c r="D35" s="110"/>
      <c r="E35" s="15"/>
      <c r="F35" s="111"/>
      <c r="G35" s="15"/>
      <c r="H35" s="17"/>
      <c r="I35" s="29"/>
      <c r="J35" s="29"/>
    </row>
    <row r="36" spans="1:10" x14ac:dyDescent="0.25">
      <c r="A36" s="30"/>
      <c r="B36" s="30"/>
      <c r="C36" s="31"/>
      <c r="D36" s="32"/>
      <c r="E36" s="30"/>
      <c r="F36" s="30"/>
      <c r="G36" s="30"/>
      <c r="H36" s="32"/>
      <c r="I36" s="30"/>
      <c r="J36" s="30"/>
    </row>
    <row r="37" spans="1:10" ht="33" customHeight="1" x14ac:dyDescent="0.25">
      <c r="A37" s="268" t="s">
        <v>49</v>
      </c>
      <c r="B37" s="268"/>
      <c r="C37" s="268"/>
      <c r="D37" s="268"/>
      <c r="E37" s="268"/>
      <c r="F37" s="268"/>
      <c r="G37" s="268"/>
      <c r="H37" s="268"/>
      <c r="I37" s="268"/>
      <c r="J37" s="268"/>
    </row>
    <row r="38" spans="1:10" ht="16.5" customHeight="1" x14ac:dyDescent="0.25">
      <c r="A38" s="33"/>
      <c r="B38" s="33"/>
      <c r="C38" s="31"/>
      <c r="D38" s="32"/>
      <c r="E38" s="30"/>
      <c r="F38" s="30"/>
      <c r="G38" s="30"/>
      <c r="H38" s="32"/>
      <c r="I38" s="30"/>
      <c r="J38" s="30"/>
    </row>
    <row r="39" spans="1:10" ht="15.75" x14ac:dyDescent="0.25">
      <c r="A39" s="33"/>
      <c r="B39" s="33"/>
      <c r="C39" s="31"/>
      <c r="D39" s="32"/>
      <c r="E39" s="30"/>
      <c r="F39" s="30"/>
      <c r="G39" s="30"/>
      <c r="H39" s="32"/>
      <c r="I39" s="30"/>
      <c r="J39" s="30"/>
    </row>
    <row r="40" spans="1:10" ht="15.75" x14ac:dyDescent="0.25">
      <c r="A40" s="33"/>
      <c r="B40" s="33"/>
      <c r="C40" s="31"/>
      <c r="D40" s="32"/>
      <c r="E40" s="30"/>
      <c r="F40" s="30"/>
      <c r="G40" s="30"/>
      <c r="H40" s="32"/>
      <c r="I40" s="30"/>
      <c r="J40" s="30"/>
    </row>
    <row r="41" spans="1:10" ht="15.75" x14ac:dyDescent="0.25">
      <c r="A41" s="33"/>
      <c r="B41" s="33"/>
      <c r="C41" s="31"/>
      <c r="D41" s="32"/>
      <c r="E41" s="30"/>
      <c r="F41" s="30"/>
      <c r="G41" s="30"/>
      <c r="H41" s="32"/>
      <c r="I41" s="30"/>
      <c r="J41" s="30"/>
    </row>
    <row r="42" spans="1:10" ht="15.75" x14ac:dyDescent="0.25">
      <c r="A42" s="33"/>
      <c r="B42" s="33"/>
      <c r="C42" s="31"/>
      <c r="D42" s="32"/>
      <c r="E42" s="30"/>
      <c r="F42" s="30"/>
      <c r="G42" s="30"/>
      <c r="H42" s="32"/>
      <c r="I42" s="30"/>
      <c r="J42" s="30"/>
    </row>
    <row r="43" spans="1:10" ht="15.75" x14ac:dyDescent="0.25">
      <c r="A43" s="235"/>
      <c r="B43" s="235"/>
      <c r="C43" s="31"/>
      <c r="D43" s="32"/>
      <c r="E43" s="30"/>
      <c r="F43" s="30"/>
      <c r="G43" s="30"/>
      <c r="H43" s="32"/>
      <c r="I43" s="30"/>
      <c r="J43" s="30"/>
    </row>
    <row r="44" spans="1:10" ht="15.75" x14ac:dyDescent="0.25">
      <c r="A44" s="236"/>
      <c r="B44" s="236"/>
      <c r="C44" s="31"/>
      <c r="D44" s="32"/>
      <c r="E44" s="30"/>
      <c r="F44" s="30"/>
      <c r="G44" s="30"/>
      <c r="H44" s="32"/>
      <c r="I44" s="30"/>
      <c r="J44" s="30"/>
    </row>
    <row r="45" spans="1:10" x14ac:dyDescent="0.25">
      <c r="A45" s="30"/>
      <c r="B45" s="30"/>
      <c r="C45" s="31"/>
      <c r="D45" s="32"/>
      <c r="E45" s="30"/>
      <c r="F45" s="30"/>
      <c r="G45" s="30"/>
      <c r="H45" s="32"/>
      <c r="I45" s="30"/>
      <c r="J45" s="30"/>
    </row>
    <row r="46" spans="1:10" x14ac:dyDescent="0.25">
      <c r="A46" s="30"/>
      <c r="B46" s="30"/>
      <c r="C46" s="31"/>
      <c r="D46" s="32"/>
      <c r="E46" s="30"/>
      <c r="F46" s="30"/>
      <c r="G46" s="30"/>
      <c r="H46" s="32"/>
      <c r="I46" s="30"/>
      <c r="J46" s="30"/>
    </row>
    <row r="47" spans="1:10" x14ac:dyDescent="0.25">
      <c r="A47" s="30"/>
      <c r="B47" s="30"/>
      <c r="C47" s="31"/>
      <c r="D47" s="32"/>
      <c r="E47" s="30"/>
      <c r="F47" s="30"/>
      <c r="G47" s="30"/>
      <c r="H47" s="32"/>
      <c r="I47" s="30"/>
      <c r="J47" s="30"/>
    </row>
    <row r="48" spans="1:10" x14ac:dyDescent="0.25">
      <c r="A48" s="30"/>
      <c r="B48" s="30"/>
      <c r="C48" s="31"/>
      <c r="D48" s="32"/>
      <c r="E48" s="30"/>
      <c r="F48" s="30"/>
      <c r="G48" s="30"/>
      <c r="H48" s="32"/>
      <c r="I48" s="30"/>
      <c r="J48" s="30"/>
    </row>
    <row r="49" spans="1:10" x14ac:dyDescent="0.25">
      <c r="A49" s="30"/>
      <c r="B49" s="30"/>
      <c r="C49" s="31"/>
      <c r="D49" s="32"/>
      <c r="E49" s="30"/>
      <c r="F49" s="30"/>
      <c r="G49" s="30"/>
      <c r="H49" s="32"/>
      <c r="I49" s="30"/>
      <c r="J49" s="30"/>
    </row>
    <row r="50" spans="1:10" x14ac:dyDescent="0.25">
      <c r="A50" s="30"/>
      <c r="B50" s="30"/>
      <c r="C50" s="31"/>
      <c r="D50" s="32"/>
      <c r="E50" s="30"/>
      <c r="F50" s="30"/>
      <c r="G50" s="30"/>
      <c r="H50" s="32"/>
      <c r="I50" s="30"/>
      <c r="J50" s="30"/>
    </row>
    <row r="51" spans="1:10" x14ac:dyDescent="0.25">
      <c r="A51" s="30"/>
      <c r="B51" s="30"/>
      <c r="C51" s="31"/>
      <c r="D51" s="32"/>
      <c r="E51" s="30"/>
      <c r="F51" s="30"/>
      <c r="G51" s="30"/>
      <c r="H51" s="32"/>
      <c r="I51" s="30"/>
      <c r="J51" s="30"/>
    </row>
    <row r="52" spans="1:10" x14ac:dyDescent="0.25">
      <c r="A52" s="30"/>
      <c r="B52" s="30"/>
      <c r="C52" s="31"/>
      <c r="D52" s="32"/>
      <c r="E52" s="30"/>
      <c r="F52" s="30"/>
      <c r="G52" s="30"/>
      <c r="H52" s="32"/>
      <c r="I52" s="30"/>
      <c r="J52" s="30"/>
    </row>
    <row r="53" spans="1:10" x14ac:dyDescent="0.25">
      <c r="A53" s="30"/>
      <c r="B53" s="30"/>
      <c r="C53" s="31"/>
      <c r="D53" s="32"/>
      <c r="E53" s="30"/>
      <c r="F53" s="30"/>
      <c r="G53" s="30"/>
      <c r="H53" s="32"/>
      <c r="I53" s="30"/>
      <c r="J53" s="30"/>
    </row>
    <row r="54" spans="1:10" x14ac:dyDescent="0.25">
      <c r="A54" s="30"/>
      <c r="B54" s="30"/>
      <c r="C54" s="31"/>
      <c r="D54" s="32"/>
      <c r="E54" s="30"/>
      <c r="F54" s="30"/>
      <c r="G54" s="30"/>
      <c r="H54" s="32"/>
      <c r="I54" s="30"/>
      <c r="J54" s="30"/>
    </row>
    <row r="55" spans="1:10" x14ac:dyDescent="0.25">
      <c r="A55" s="30"/>
      <c r="B55" s="30"/>
      <c r="C55" s="31"/>
      <c r="D55" s="32"/>
      <c r="E55" s="30"/>
      <c r="F55" s="30"/>
      <c r="G55" s="30"/>
      <c r="H55" s="32"/>
      <c r="I55" s="30"/>
      <c r="J55" s="30"/>
    </row>
    <row r="56" spans="1:10" x14ac:dyDescent="0.25">
      <c r="A56" s="30"/>
      <c r="B56" s="30"/>
      <c r="C56" s="31"/>
      <c r="D56" s="32"/>
      <c r="E56" s="30"/>
      <c r="F56" s="30"/>
      <c r="G56" s="30"/>
      <c r="H56" s="32"/>
      <c r="I56" s="30"/>
      <c r="J56" s="30"/>
    </row>
  </sheetData>
  <mergeCells count="11">
    <mergeCell ref="A43:B43"/>
    <mergeCell ref="A44:B44"/>
    <mergeCell ref="A1:J1"/>
    <mergeCell ref="A6:J6"/>
    <mergeCell ref="A7:J7"/>
    <mergeCell ref="A9:A10"/>
    <mergeCell ref="B9:B10"/>
    <mergeCell ref="C9:C10"/>
    <mergeCell ref="D9:D10"/>
    <mergeCell ref="E9:J9"/>
    <mergeCell ref="A37:J37"/>
  </mergeCells>
  <pageMargins left="0.45" right="0.45" top="0.5" bottom="0.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55"/>
  <sheetViews>
    <sheetView topLeftCell="A10" zoomScale="80" zoomScaleNormal="80" workbookViewId="0">
      <selection activeCell="A33" sqref="A33:XFD33"/>
    </sheetView>
  </sheetViews>
  <sheetFormatPr defaultRowHeight="15" x14ac:dyDescent="0.25"/>
  <cols>
    <col min="1" max="1" width="4.28515625" customWidth="1"/>
    <col min="2" max="2" width="19.140625" customWidth="1"/>
    <col min="3" max="3" width="10.28515625" style="34" bestFit="1" customWidth="1"/>
    <col min="4" max="5" width="10" style="4" customWidth="1"/>
    <col min="6" max="7" width="11.140625" customWidth="1"/>
    <col min="8" max="8" width="12.140625" customWidth="1"/>
    <col min="9" max="9" width="21.5703125" style="4" customWidth="1"/>
    <col min="10" max="10" width="18.7109375" style="4" customWidth="1"/>
    <col min="14" max="14" width="11.140625" style="4" bestFit="1" customWidth="1"/>
  </cols>
  <sheetData>
    <row r="1" spans="1:14" ht="18.75" x14ac:dyDescent="0.3">
      <c r="A1" s="234" t="s">
        <v>45</v>
      </c>
      <c r="B1" s="234"/>
      <c r="C1" s="234"/>
      <c r="D1" s="234"/>
      <c r="E1" s="234"/>
      <c r="F1" s="234"/>
      <c r="G1" s="234"/>
      <c r="H1" s="234"/>
    </row>
    <row r="2" spans="1:14" x14ac:dyDescent="0.25">
      <c r="A2" s="35" t="s">
        <v>40</v>
      </c>
      <c r="B2" s="35"/>
      <c r="C2" s="40"/>
      <c r="D2" s="41"/>
      <c r="E2" s="41"/>
      <c r="F2" s="1" t="s">
        <v>1</v>
      </c>
      <c r="G2" s="3"/>
      <c r="H2" s="1"/>
    </row>
    <row r="3" spans="1:14" x14ac:dyDescent="0.25">
      <c r="A3" s="35" t="s">
        <v>55</v>
      </c>
      <c r="B3" s="35"/>
      <c r="C3" s="40"/>
      <c r="D3" s="41"/>
      <c r="E3" s="41"/>
      <c r="F3" s="1" t="s">
        <v>2</v>
      </c>
      <c r="G3" s="3"/>
      <c r="H3" s="1"/>
    </row>
    <row r="4" spans="1:14" x14ac:dyDescent="0.25">
      <c r="A4" s="35"/>
      <c r="B4" s="35"/>
      <c r="C4" s="40"/>
      <c r="D4" s="41"/>
      <c r="E4" s="41"/>
      <c r="F4" s="35"/>
      <c r="G4" s="35"/>
      <c r="H4" s="35"/>
    </row>
    <row r="6" spans="1:14" ht="16.5" x14ac:dyDescent="0.25">
      <c r="A6" s="237" t="s">
        <v>3</v>
      </c>
      <c r="B6" s="237"/>
      <c r="C6" s="237"/>
      <c r="D6" s="237"/>
      <c r="E6" s="237"/>
      <c r="F6" s="237"/>
      <c r="G6" s="237"/>
      <c r="H6" s="237"/>
    </row>
    <row r="7" spans="1:14" ht="16.5" x14ac:dyDescent="0.25">
      <c r="A7" s="237" t="s">
        <v>54</v>
      </c>
      <c r="B7" s="237"/>
      <c r="C7" s="237"/>
      <c r="D7" s="237"/>
      <c r="E7" s="237"/>
      <c r="F7" s="237"/>
      <c r="G7" s="237"/>
      <c r="H7" s="237"/>
    </row>
    <row r="9" spans="1:14" ht="57" x14ac:dyDescent="0.25">
      <c r="A9" s="44" t="s">
        <v>4</v>
      </c>
      <c r="B9" s="44" t="s">
        <v>5</v>
      </c>
      <c r="C9" s="44" t="s">
        <v>6</v>
      </c>
      <c r="D9" s="45" t="s">
        <v>7</v>
      </c>
      <c r="E9" s="45" t="s">
        <v>41</v>
      </c>
      <c r="F9" s="8" t="s">
        <v>42</v>
      </c>
      <c r="G9" s="7" t="s">
        <v>13</v>
      </c>
      <c r="H9" s="7" t="s">
        <v>14</v>
      </c>
      <c r="I9" s="6"/>
    </row>
    <row r="10" spans="1:14" x14ac:dyDescent="0.25">
      <c r="A10" s="7" t="s">
        <v>15</v>
      </c>
      <c r="B10" s="7" t="s">
        <v>16</v>
      </c>
      <c r="C10" s="7" t="s">
        <v>17</v>
      </c>
      <c r="D10" s="8">
        <v>1</v>
      </c>
      <c r="E10" s="8">
        <v>2</v>
      </c>
      <c r="F10" s="7">
        <v>3</v>
      </c>
      <c r="G10" s="7" t="s">
        <v>56</v>
      </c>
      <c r="H10" s="7" t="s">
        <v>57</v>
      </c>
      <c r="I10" s="6"/>
    </row>
    <row r="11" spans="1:14" s="173" customFormat="1" ht="15.75" x14ac:dyDescent="0.25">
      <c r="A11" s="169"/>
      <c r="B11" s="169" t="s">
        <v>20</v>
      </c>
      <c r="C11" s="170" t="s">
        <v>21</v>
      </c>
      <c r="D11" s="162">
        <v>784826</v>
      </c>
      <c r="E11" s="171">
        <f>SUM(E12:E15)</f>
        <v>865145</v>
      </c>
      <c r="F11" s="172">
        <f>SUM(F12:F15)</f>
        <v>761519</v>
      </c>
      <c r="G11" s="164">
        <f>E11/F11</f>
        <v>1.1360780230040222</v>
      </c>
      <c r="H11" s="145">
        <f>E11/D11</f>
        <v>1.1023398817062635</v>
      </c>
      <c r="I11" s="165">
        <v>1.07</v>
      </c>
      <c r="J11" s="166">
        <f>E11*I11</f>
        <v>925705.15</v>
      </c>
      <c r="N11" s="166"/>
    </row>
    <row r="12" spans="1:14" ht="15.75" x14ac:dyDescent="0.25">
      <c r="A12" s="42"/>
      <c r="B12" s="42" t="s">
        <v>22</v>
      </c>
      <c r="C12" s="43" t="s">
        <v>21</v>
      </c>
      <c r="D12" s="123"/>
      <c r="E12" s="150">
        <f>E19+E26+E30</f>
        <v>202392</v>
      </c>
      <c r="F12" s="151">
        <f>F19+F26+F30</f>
        <v>180624</v>
      </c>
      <c r="G12" s="46"/>
      <c r="H12" s="12"/>
      <c r="I12" s="96">
        <v>1.07</v>
      </c>
      <c r="J12" s="14">
        <f t="shared" ref="J12:J34" si="0">E12*I12</f>
        <v>216559.44</v>
      </c>
      <c r="K12" s="4"/>
      <c r="L12" s="4"/>
      <c r="M12" s="82" t="e">
        <f>K12/L12</f>
        <v>#DIV/0!</v>
      </c>
    </row>
    <row r="13" spans="1:14" ht="15.75" x14ac:dyDescent="0.25">
      <c r="A13" s="42"/>
      <c r="B13" s="42" t="s">
        <v>23</v>
      </c>
      <c r="C13" s="43" t="s">
        <v>21</v>
      </c>
      <c r="D13" s="123"/>
      <c r="E13" s="150">
        <f>E21+E27+E31</f>
        <v>267611</v>
      </c>
      <c r="F13" s="152">
        <f>F21+F27+F31</f>
        <v>225236</v>
      </c>
      <c r="G13" s="46"/>
      <c r="H13" s="12"/>
      <c r="I13" s="96">
        <v>1.07</v>
      </c>
      <c r="J13" s="14">
        <f t="shared" si="0"/>
        <v>286343.77</v>
      </c>
    </row>
    <row r="14" spans="1:14" ht="15.75" x14ac:dyDescent="0.25">
      <c r="A14" s="42"/>
      <c r="B14" s="42" t="s">
        <v>24</v>
      </c>
      <c r="C14" s="43" t="s">
        <v>21</v>
      </c>
      <c r="D14" s="123"/>
      <c r="E14" s="150">
        <f>E23+E28+E32</f>
        <v>390295</v>
      </c>
      <c r="F14" s="152">
        <f>F23+F28+F32</f>
        <v>352892</v>
      </c>
      <c r="G14" s="46"/>
      <c r="H14" s="12"/>
      <c r="I14" s="96">
        <v>1.07</v>
      </c>
      <c r="J14" s="14">
        <f t="shared" si="0"/>
        <v>417615.65</v>
      </c>
    </row>
    <row r="15" spans="1:14" ht="15.75" x14ac:dyDescent="0.25">
      <c r="A15" s="42"/>
      <c r="B15" s="42" t="s">
        <v>43</v>
      </c>
      <c r="C15" s="43" t="s">
        <v>21</v>
      </c>
      <c r="D15" s="123"/>
      <c r="E15" s="150">
        <v>4847</v>
      </c>
      <c r="F15" s="150">
        <v>2767</v>
      </c>
      <c r="G15" s="46"/>
      <c r="H15" s="12"/>
      <c r="I15" s="96">
        <v>1.07</v>
      </c>
      <c r="J15" s="14">
        <f t="shared" si="0"/>
        <v>5186.29</v>
      </c>
    </row>
    <row r="16" spans="1:14" ht="15.75" x14ac:dyDescent="0.25">
      <c r="A16" s="42"/>
      <c r="B16" s="42" t="s">
        <v>26</v>
      </c>
      <c r="C16" s="43"/>
      <c r="D16" s="128" t="s">
        <v>52</v>
      </c>
      <c r="E16" s="153"/>
      <c r="F16" s="154"/>
      <c r="G16" s="46"/>
      <c r="H16" s="12"/>
      <c r="I16" s="96">
        <v>1.07</v>
      </c>
      <c r="J16" s="14">
        <f t="shared" si="0"/>
        <v>0</v>
      </c>
    </row>
    <row r="17" spans="1:14" s="168" customFormat="1" ht="15.75" x14ac:dyDescent="0.25">
      <c r="A17" s="160">
        <v>1</v>
      </c>
      <c r="B17" s="160" t="s">
        <v>27</v>
      </c>
      <c r="C17" s="161" t="s">
        <v>21</v>
      </c>
      <c r="D17" s="162">
        <v>261285</v>
      </c>
      <c r="E17" s="163">
        <f>E19+E21+E23</f>
        <v>293992</v>
      </c>
      <c r="F17" s="163">
        <f>F19+F21+F23</f>
        <v>253665</v>
      </c>
      <c r="G17" s="164">
        <f t="shared" ref="G17:G33" si="1">E17/F17</f>
        <v>1.1589773914414681</v>
      </c>
      <c r="H17" s="145"/>
      <c r="I17" s="165">
        <v>1.07</v>
      </c>
      <c r="J17" s="166">
        <f t="shared" si="0"/>
        <v>314571.44</v>
      </c>
      <c r="K17" s="167"/>
      <c r="L17" s="149"/>
      <c r="N17" s="146"/>
    </row>
    <row r="18" spans="1:14" s="147" customFormat="1" ht="15.75" customHeight="1" x14ac:dyDescent="0.25">
      <c r="A18" s="160"/>
      <c r="B18" s="160"/>
      <c r="C18" s="161" t="s">
        <v>28</v>
      </c>
      <c r="D18" s="162">
        <v>25500</v>
      </c>
      <c r="E18" s="163">
        <f>E20+E22+E24</f>
        <v>29925</v>
      </c>
      <c r="F18" s="163">
        <f>F20+F22+F24</f>
        <v>24760</v>
      </c>
      <c r="G18" s="164">
        <f t="shared" si="1"/>
        <v>1.2086025848142166</v>
      </c>
      <c r="H18" s="145">
        <f>E18/D18</f>
        <v>1.1735294117647059</v>
      </c>
      <c r="I18" s="165">
        <v>1.07</v>
      </c>
      <c r="J18" s="166">
        <f t="shared" si="0"/>
        <v>32019.750000000004</v>
      </c>
      <c r="K18" s="146"/>
      <c r="N18" s="146"/>
    </row>
    <row r="19" spans="1:14" ht="15.75" customHeight="1" x14ac:dyDescent="0.25">
      <c r="A19" s="42"/>
      <c r="B19" s="42" t="s">
        <v>29</v>
      </c>
      <c r="C19" s="43" t="s">
        <v>30</v>
      </c>
      <c r="D19" s="123"/>
      <c r="E19" s="150">
        <v>96994</v>
      </c>
      <c r="F19" s="150">
        <v>85904</v>
      </c>
      <c r="G19" s="46"/>
      <c r="H19" s="12"/>
      <c r="I19" s="96">
        <v>1.07</v>
      </c>
      <c r="J19" s="14">
        <f t="shared" si="0"/>
        <v>103783.58</v>
      </c>
    </row>
    <row r="20" spans="1:14" ht="15.75" customHeight="1" x14ac:dyDescent="0.25">
      <c r="A20" s="42"/>
      <c r="B20" s="42"/>
      <c r="C20" s="43" t="s">
        <v>28</v>
      </c>
      <c r="D20" s="123"/>
      <c r="E20" s="150">
        <v>9584</v>
      </c>
      <c r="F20" s="150">
        <v>8204</v>
      </c>
      <c r="G20" s="46"/>
      <c r="H20" s="12"/>
      <c r="I20" s="96">
        <v>1.07</v>
      </c>
      <c r="J20" s="14">
        <f t="shared" si="0"/>
        <v>10254.880000000001</v>
      </c>
    </row>
    <row r="21" spans="1:14" ht="15.75" x14ac:dyDescent="0.25">
      <c r="A21" s="42"/>
      <c r="B21" s="42" t="s">
        <v>31</v>
      </c>
      <c r="C21" s="43" t="s">
        <v>30</v>
      </c>
      <c r="D21" s="123"/>
      <c r="E21" s="150">
        <v>98598</v>
      </c>
      <c r="F21" s="150">
        <v>86561</v>
      </c>
      <c r="G21" s="46"/>
      <c r="H21" s="12"/>
      <c r="I21" s="96">
        <v>1.07</v>
      </c>
      <c r="J21" s="14">
        <f t="shared" si="0"/>
        <v>105499.86</v>
      </c>
      <c r="K21" s="13"/>
      <c r="L21" s="13"/>
      <c r="M21" s="13"/>
      <c r="N21" s="14"/>
    </row>
    <row r="22" spans="1:14" ht="15.75" x14ac:dyDescent="0.25">
      <c r="A22" s="42"/>
      <c r="B22" s="42"/>
      <c r="C22" s="43" t="s">
        <v>28</v>
      </c>
      <c r="D22" s="123"/>
      <c r="E22" s="150">
        <v>9718</v>
      </c>
      <c r="F22" s="150">
        <v>8069</v>
      </c>
      <c r="G22" s="46"/>
      <c r="H22" s="12"/>
      <c r="I22" s="96">
        <v>1.07</v>
      </c>
      <c r="J22" s="14">
        <f t="shared" si="0"/>
        <v>10398.26</v>
      </c>
    </row>
    <row r="23" spans="1:14" ht="15.75" x14ac:dyDescent="0.25">
      <c r="A23" s="42"/>
      <c r="B23" s="42" t="s">
        <v>32</v>
      </c>
      <c r="C23" s="43" t="s">
        <v>30</v>
      </c>
      <c r="D23" s="123"/>
      <c r="E23" s="150">
        <v>98400</v>
      </c>
      <c r="F23" s="150">
        <v>81200</v>
      </c>
      <c r="G23" s="46"/>
      <c r="H23" s="12"/>
      <c r="I23" s="96">
        <v>1.07</v>
      </c>
      <c r="J23" s="14">
        <f t="shared" si="0"/>
        <v>105288</v>
      </c>
    </row>
    <row r="24" spans="1:14" ht="15.75" x14ac:dyDescent="0.25">
      <c r="A24" s="42"/>
      <c r="B24" s="42"/>
      <c r="C24" s="43" t="s">
        <v>28</v>
      </c>
      <c r="D24" s="123"/>
      <c r="E24" s="150">
        <v>10623</v>
      </c>
      <c r="F24" s="150">
        <v>8487</v>
      </c>
      <c r="G24" s="46"/>
      <c r="H24" s="12"/>
      <c r="I24" s="96">
        <v>1.07</v>
      </c>
      <c r="J24" s="14">
        <f t="shared" si="0"/>
        <v>11366.61</v>
      </c>
    </row>
    <row r="25" spans="1:14" s="168" customFormat="1" ht="15.75" x14ac:dyDescent="0.25">
      <c r="A25" s="160">
        <v>2</v>
      </c>
      <c r="B25" s="160" t="s">
        <v>33</v>
      </c>
      <c r="C25" s="161" t="s">
        <v>21</v>
      </c>
      <c r="D25" s="162">
        <v>84017</v>
      </c>
      <c r="E25" s="163">
        <f>E26+E27+E28</f>
        <v>83079</v>
      </c>
      <c r="F25" s="163">
        <f>F26+F27+F28</f>
        <v>81566</v>
      </c>
      <c r="G25" s="164">
        <f t="shared" si="1"/>
        <v>1.0185493955814924</v>
      </c>
      <c r="H25" s="174">
        <f>E25/D25</f>
        <v>0.98883559279669586</v>
      </c>
      <c r="I25" s="165">
        <v>1.07</v>
      </c>
      <c r="J25" s="166">
        <f t="shared" si="0"/>
        <v>88894.53</v>
      </c>
      <c r="N25" s="167"/>
    </row>
    <row r="26" spans="1:14" ht="15.75" x14ac:dyDescent="0.25">
      <c r="A26" s="42"/>
      <c r="B26" s="42" t="s">
        <v>29</v>
      </c>
      <c r="C26" s="43" t="s">
        <v>21</v>
      </c>
      <c r="D26" s="123"/>
      <c r="E26" s="150">
        <v>4250</v>
      </c>
      <c r="F26" s="150">
        <v>4398</v>
      </c>
      <c r="G26" s="46"/>
      <c r="H26" s="12"/>
      <c r="I26" s="96">
        <v>1.07</v>
      </c>
      <c r="J26" s="14">
        <f t="shared" si="0"/>
        <v>4547.5</v>
      </c>
    </row>
    <row r="27" spans="1:14" ht="15.75" x14ac:dyDescent="0.25">
      <c r="A27" s="42"/>
      <c r="B27" s="42" t="s">
        <v>34</v>
      </c>
      <c r="C27" s="43" t="s">
        <v>21</v>
      </c>
      <c r="D27" s="123"/>
      <c r="E27" s="150">
        <v>31793</v>
      </c>
      <c r="F27" s="150">
        <v>29061</v>
      </c>
      <c r="G27" s="46"/>
      <c r="H27" s="12"/>
      <c r="I27" s="96">
        <v>1.07</v>
      </c>
      <c r="J27" s="14">
        <f t="shared" si="0"/>
        <v>34018.51</v>
      </c>
    </row>
    <row r="28" spans="1:14" ht="15.75" customHeight="1" x14ac:dyDescent="0.25">
      <c r="A28" s="42"/>
      <c r="B28" s="42" t="s">
        <v>32</v>
      </c>
      <c r="C28" s="43" t="s">
        <v>21</v>
      </c>
      <c r="D28" s="123"/>
      <c r="E28" s="150">
        <v>47036</v>
      </c>
      <c r="F28" s="150">
        <v>48107</v>
      </c>
      <c r="G28" s="46"/>
      <c r="H28" s="12"/>
      <c r="I28" s="96">
        <v>1.07</v>
      </c>
      <c r="J28" s="14">
        <f t="shared" si="0"/>
        <v>50328.520000000004</v>
      </c>
    </row>
    <row r="29" spans="1:14" s="168" customFormat="1" ht="15.75" x14ac:dyDescent="0.25">
      <c r="A29" s="160">
        <v>3</v>
      </c>
      <c r="B29" s="160" t="s">
        <v>35</v>
      </c>
      <c r="C29" s="161" t="s">
        <v>21</v>
      </c>
      <c r="D29" s="162">
        <v>436690</v>
      </c>
      <c r="E29" s="163">
        <f>E30+E31+E32</f>
        <v>483227</v>
      </c>
      <c r="F29" s="163">
        <f>F30+F31+F32</f>
        <v>423521</v>
      </c>
      <c r="G29" s="164">
        <f t="shared" si="1"/>
        <v>1.1409752999260958</v>
      </c>
      <c r="H29" s="174">
        <f>E29/D29</f>
        <v>1.1065675879914814</v>
      </c>
      <c r="I29" s="165">
        <v>1.07</v>
      </c>
      <c r="J29" s="166">
        <f t="shared" si="0"/>
        <v>517052.89</v>
      </c>
      <c r="N29" s="167"/>
    </row>
    <row r="30" spans="1:14" ht="15.75" x14ac:dyDescent="0.25">
      <c r="A30" s="42"/>
      <c r="B30" s="42" t="s">
        <v>29</v>
      </c>
      <c r="C30" s="43" t="s">
        <v>21</v>
      </c>
      <c r="D30" s="123"/>
      <c r="E30" s="150">
        <v>101148</v>
      </c>
      <c r="F30" s="150">
        <v>90322</v>
      </c>
      <c r="G30" s="46"/>
      <c r="H30" s="12"/>
      <c r="I30" s="96">
        <v>1.07</v>
      </c>
      <c r="J30" s="14">
        <f t="shared" si="0"/>
        <v>108228.36</v>
      </c>
    </row>
    <row r="31" spans="1:14" ht="15.75" x14ac:dyDescent="0.25">
      <c r="A31" s="42"/>
      <c r="B31" s="42" t="s">
        <v>34</v>
      </c>
      <c r="C31" s="43" t="s">
        <v>21</v>
      </c>
      <c r="D31" s="123"/>
      <c r="E31" s="150">
        <v>137220</v>
      </c>
      <c r="F31" s="150">
        <v>109614</v>
      </c>
      <c r="G31" s="46"/>
      <c r="H31" s="12"/>
      <c r="I31" s="96">
        <v>1.07</v>
      </c>
      <c r="J31" s="14">
        <f t="shared" si="0"/>
        <v>146825.4</v>
      </c>
    </row>
    <row r="32" spans="1:14" ht="15.75" customHeight="1" x14ac:dyDescent="0.25">
      <c r="A32" s="42"/>
      <c r="B32" s="42" t="s">
        <v>32</v>
      </c>
      <c r="C32" s="43" t="s">
        <v>21</v>
      </c>
      <c r="D32" s="123"/>
      <c r="E32" s="150">
        <v>244859</v>
      </c>
      <c r="F32" s="150">
        <v>223585</v>
      </c>
      <c r="G32" s="46"/>
      <c r="H32" s="12"/>
      <c r="I32" s="96">
        <v>1.07</v>
      </c>
      <c r="J32" s="14">
        <f t="shared" si="0"/>
        <v>261999.13</v>
      </c>
    </row>
    <row r="33" spans="1:14" s="168" customFormat="1" ht="15.75" x14ac:dyDescent="0.25">
      <c r="A33" s="160">
        <v>4</v>
      </c>
      <c r="B33" s="160" t="s">
        <v>25</v>
      </c>
      <c r="C33" s="161" t="s">
        <v>21</v>
      </c>
      <c r="D33" s="162">
        <v>86412</v>
      </c>
      <c r="E33" s="175">
        <v>83957</v>
      </c>
      <c r="F33" s="175">
        <v>83894</v>
      </c>
      <c r="G33" s="164">
        <f t="shared" si="1"/>
        <v>1.0007509476243832</v>
      </c>
      <c r="H33" s="174">
        <f>E33/D33</f>
        <v>0.97158959403786516</v>
      </c>
      <c r="I33" s="165">
        <v>1.07</v>
      </c>
      <c r="J33" s="166">
        <f t="shared" si="0"/>
        <v>89833.99</v>
      </c>
      <c r="N33" s="167"/>
    </row>
    <row r="34" spans="1:14" s="24" customFormat="1" ht="15.75" x14ac:dyDescent="0.25">
      <c r="A34" s="20"/>
      <c r="B34" s="20"/>
      <c r="C34" s="21"/>
      <c r="D34" s="123"/>
      <c r="E34" s="69"/>
      <c r="F34" s="69"/>
      <c r="G34" s="46"/>
      <c r="H34" s="23"/>
      <c r="I34" s="96">
        <v>1.07</v>
      </c>
      <c r="J34" s="14">
        <f t="shared" si="0"/>
        <v>0</v>
      </c>
      <c r="N34" s="26"/>
    </row>
    <row r="35" spans="1:14" x14ac:dyDescent="0.25">
      <c r="A35" s="155"/>
      <c r="B35" s="155"/>
      <c r="C35" s="156"/>
      <c r="D35" s="157"/>
      <c r="E35" s="158"/>
      <c r="F35" s="158"/>
      <c r="G35" s="159"/>
      <c r="H35" s="159"/>
    </row>
    <row r="36" spans="1:14" ht="39" customHeight="1" x14ac:dyDescent="0.25">
      <c r="A36" s="269" t="s">
        <v>50</v>
      </c>
      <c r="B36" s="269"/>
      <c r="C36" s="269"/>
      <c r="D36" s="269"/>
      <c r="E36" s="269"/>
      <c r="F36" s="269"/>
      <c r="G36" s="269"/>
      <c r="H36" s="269"/>
      <c r="I36" s="269"/>
    </row>
    <row r="37" spans="1:14" ht="16.5" customHeight="1" x14ac:dyDescent="0.25">
      <c r="A37" s="33"/>
      <c r="B37" s="33"/>
      <c r="C37" s="31"/>
      <c r="D37" s="32"/>
      <c r="E37" s="32"/>
      <c r="F37" s="30"/>
      <c r="G37" s="30"/>
      <c r="H37" s="30"/>
    </row>
    <row r="38" spans="1:14" ht="15.75" x14ac:dyDescent="0.25">
      <c r="A38" s="33"/>
      <c r="B38" s="33"/>
      <c r="C38" s="31"/>
      <c r="D38" s="32"/>
      <c r="E38" s="32"/>
      <c r="F38" s="30"/>
      <c r="G38" s="30"/>
      <c r="H38" s="30"/>
    </row>
    <row r="39" spans="1:14" ht="15.75" x14ac:dyDescent="0.25">
      <c r="A39" s="33"/>
      <c r="B39" s="33"/>
      <c r="C39" s="31"/>
      <c r="D39" s="32"/>
      <c r="E39" s="32"/>
      <c r="F39" s="30"/>
      <c r="G39" s="30"/>
      <c r="H39" s="30"/>
    </row>
    <row r="40" spans="1:14" ht="15.75" x14ac:dyDescent="0.25">
      <c r="A40" s="33"/>
      <c r="B40" s="33"/>
      <c r="C40" s="31"/>
      <c r="D40" s="32"/>
      <c r="E40" s="32"/>
      <c r="F40" s="30"/>
      <c r="G40" s="30"/>
      <c r="H40" s="30"/>
    </row>
    <row r="41" spans="1:14" ht="15.75" x14ac:dyDescent="0.25">
      <c r="A41" s="33"/>
      <c r="B41" s="33"/>
      <c r="C41" s="31"/>
      <c r="D41" s="32"/>
      <c r="E41" s="32"/>
      <c r="F41" s="30"/>
      <c r="G41" s="30"/>
      <c r="H41" s="30"/>
    </row>
    <row r="42" spans="1:14" ht="15.75" x14ac:dyDescent="0.25">
      <c r="A42" s="235"/>
      <c r="B42" s="235"/>
      <c r="C42" s="31"/>
      <c r="D42" s="32"/>
      <c r="E42" s="32"/>
      <c r="F42" s="30"/>
      <c r="G42" s="30"/>
      <c r="H42" s="30"/>
    </row>
    <row r="43" spans="1:14" ht="15.75" x14ac:dyDescent="0.25">
      <c r="A43" s="236"/>
      <c r="B43" s="236"/>
      <c r="C43" s="31"/>
      <c r="D43" s="32"/>
      <c r="E43" s="32"/>
      <c r="F43" s="30"/>
      <c r="G43" s="30"/>
      <c r="H43" s="30"/>
    </row>
    <row r="44" spans="1:14" x14ac:dyDescent="0.25">
      <c r="A44" s="30"/>
      <c r="B44" s="30"/>
      <c r="C44" s="31"/>
      <c r="D44" s="32"/>
      <c r="E44" s="32"/>
      <c r="F44" s="30"/>
      <c r="G44" s="30"/>
      <c r="H44" s="30"/>
    </row>
    <row r="45" spans="1:14" x14ac:dyDescent="0.25">
      <c r="A45" s="30"/>
      <c r="B45" s="30"/>
      <c r="C45" s="31"/>
      <c r="D45" s="32"/>
      <c r="E45" s="32"/>
      <c r="F45" s="30"/>
      <c r="G45" s="30"/>
      <c r="H45" s="30"/>
    </row>
    <row r="46" spans="1:14" x14ac:dyDescent="0.25">
      <c r="A46" s="30"/>
      <c r="B46" s="30"/>
      <c r="C46" s="31"/>
      <c r="D46" s="32"/>
      <c r="E46" s="32"/>
      <c r="F46" s="30"/>
      <c r="G46" s="30"/>
      <c r="H46" s="30"/>
    </row>
    <row r="47" spans="1:14" x14ac:dyDescent="0.25">
      <c r="A47" s="30"/>
      <c r="B47" s="30"/>
      <c r="C47" s="31"/>
      <c r="D47" s="32"/>
      <c r="E47" s="32"/>
      <c r="F47" s="30"/>
      <c r="G47" s="30"/>
      <c r="H47" s="30"/>
    </row>
    <row r="48" spans="1:14" x14ac:dyDescent="0.25">
      <c r="A48" s="30"/>
      <c r="B48" s="30"/>
      <c r="C48" s="31"/>
      <c r="D48" s="32"/>
      <c r="E48" s="32"/>
      <c r="F48" s="30"/>
      <c r="G48" s="30"/>
      <c r="H48" s="30"/>
    </row>
    <row r="49" spans="1:8" x14ac:dyDescent="0.25">
      <c r="A49" s="30"/>
      <c r="B49" s="30"/>
      <c r="C49" s="31"/>
      <c r="D49" s="32"/>
      <c r="E49" s="32"/>
      <c r="F49" s="30"/>
      <c r="G49" s="30"/>
      <c r="H49" s="30"/>
    </row>
    <row r="50" spans="1:8" x14ac:dyDescent="0.25">
      <c r="A50" s="30"/>
      <c r="B50" s="30"/>
      <c r="C50" s="31"/>
      <c r="D50" s="32"/>
      <c r="E50" s="32"/>
      <c r="F50" s="30"/>
      <c r="G50" s="30"/>
      <c r="H50" s="30"/>
    </row>
    <row r="51" spans="1:8" x14ac:dyDescent="0.25">
      <c r="A51" s="30"/>
      <c r="B51" s="30"/>
      <c r="C51" s="31"/>
      <c r="D51" s="32"/>
      <c r="E51" s="32"/>
      <c r="F51" s="30"/>
      <c r="G51" s="30"/>
      <c r="H51" s="30"/>
    </row>
    <row r="52" spans="1:8" x14ac:dyDescent="0.25">
      <c r="A52" s="30"/>
      <c r="B52" s="30"/>
      <c r="C52" s="31"/>
      <c r="D52" s="32"/>
      <c r="E52" s="32"/>
      <c r="F52" s="30"/>
      <c r="G52" s="30"/>
      <c r="H52" s="30"/>
    </row>
    <row r="53" spans="1:8" x14ac:dyDescent="0.25">
      <c r="A53" s="30"/>
      <c r="B53" s="30"/>
      <c r="C53" s="31"/>
      <c r="D53" s="32"/>
      <c r="E53" s="32"/>
      <c r="F53" s="30"/>
      <c r="G53" s="30"/>
      <c r="H53" s="30"/>
    </row>
    <row r="54" spans="1:8" x14ac:dyDescent="0.25">
      <c r="A54" s="30"/>
      <c r="B54" s="30"/>
      <c r="C54" s="31"/>
      <c r="D54" s="32"/>
      <c r="E54" s="32"/>
      <c r="F54" s="30"/>
      <c r="G54" s="30"/>
      <c r="H54" s="30"/>
    </row>
    <row r="55" spans="1:8" x14ac:dyDescent="0.25">
      <c r="A55" s="30"/>
      <c r="B55" s="30"/>
      <c r="C55" s="31"/>
      <c r="D55" s="32"/>
      <c r="E55" s="32"/>
      <c r="F55" s="30"/>
      <c r="G55" s="30"/>
      <c r="H55" s="30"/>
    </row>
  </sheetData>
  <mergeCells count="6">
    <mergeCell ref="A1:H1"/>
    <mergeCell ref="A36:I36"/>
    <mergeCell ref="A43:B43"/>
    <mergeCell ref="A6:H6"/>
    <mergeCell ref="A7:H7"/>
    <mergeCell ref="A42:B42"/>
  </mergeCells>
  <pageMargins left="0.45" right="0.45" top="0.5" bottom="0.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1"/>
  <sheetViews>
    <sheetView tabSelected="1" workbookViewId="0">
      <selection activeCell="E7" sqref="E7"/>
    </sheetView>
  </sheetViews>
  <sheetFormatPr defaultRowHeight="15" x14ac:dyDescent="0.25"/>
  <cols>
    <col min="2" max="2" width="10.5703125" bestFit="1" customWidth="1"/>
  </cols>
  <sheetData>
    <row r="1" spans="1:3" x14ac:dyDescent="0.25">
      <c r="A1" s="270" t="s">
        <v>91</v>
      </c>
      <c r="B1" s="270" t="s">
        <v>91</v>
      </c>
      <c r="C1" s="270" t="s">
        <v>92</v>
      </c>
    </row>
    <row r="2" spans="1:3" x14ac:dyDescent="0.25">
      <c r="A2" s="270" t="s">
        <v>93</v>
      </c>
      <c r="B2" s="270">
        <v>28</v>
      </c>
      <c r="C2" s="270">
        <v>40</v>
      </c>
    </row>
    <row r="3" spans="1:3" x14ac:dyDescent="0.25">
      <c r="A3" s="270" t="s">
        <v>94</v>
      </c>
      <c r="B3" s="270">
        <v>28</v>
      </c>
      <c r="C3" s="270">
        <v>40</v>
      </c>
    </row>
    <row r="4" spans="1:3" x14ac:dyDescent="0.25">
      <c r="A4" s="270" t="s">
        <v>95</v>
      </c>
      <c r="B4" s="270">
        <v>28</v>
      </c>
      <c r="C4" s="270">
        <v>40</v>
      </c>
    </row>
    <row r="5" spans="1:3" x14ac:dyDescent="0.25">
      <c r="A5" s="270" t="s">
        <v>96</v>
      </c>
      <c r="B5" s="270">
        <v>28</v>
      </c>
      <c r="C5" s="270">
        <v>5</v>
      </c>
    </row>
    <row r="6" spans="1:3" x14ac:dyDescent="0.25">
      <c r="A6" s="270" t="s">
        <v>97</v>
      </c>
      <c r="B6" s="270">
        <v>27</v>
      </c>
      <c r="C6" s="270">
        <v>5</v>
      </c>
    </row>
    <row r="7" spans="1:3" x14ac:dyDescent="0.25">
      <c r="A7" s="270" t="s">
        <v>98</v>
      </c>
      <c r="B7" s="270">
        <v>27</v>
      </c>
      <c r="C7" s="270">
        <v>2</v>
      </c>
    </row>
    <row r="8" spans="1:3" x14ac:dyDescent="0.25">
      <c r="A8" s="270" t="s">
        <v>99</v>
      </c>
      <c r="B8" s="270">
        <v>14</v>
      </c>
      <c r="C8" s="270">
        <v>3</v>
      </c>
    </row>
    <row r="9" spans="1:3" x14ac:dyDescent="0.25">
      <c r="A9" s="270" t="s">
        <v>100</v>
      </c>
      <c r="B9" s="270"/>
      <c r="C9" s="270">
        <v>5</v>
      </c>
    </row>
    <row r="10" spans="1:3" x14ac:dyDescent="0.25">
      <c r="A10" s="270" t="s">
        <v>101</v>
      </c>
      <c r="B10" s="270"/>
      <c r="C10" s="270">
        <v>3</v>
      </c>
    </row>
    <row r="11" spans="1:3" x14ac:dyDescent="0.25">
      <c r="A11" s="270" t="s">
        <v>102</v>
      </c>
      <c r="B11" s="270"/>
      <c r="C11" s="270">
        <v>3</v>
      </c>
    </row>
    <row r="12" spans="1:3" x14ac:dyDescent="0.25">
      <c r="A12" s="270" t="s">
        <v>103</v>
      </c>
      <c r="B12" s="270"/>
      <c r="C12" s="270">
        <v>1</v>
      </c>
    </row>
    <row r="13" spans="1:3" x14ac:dyDescent="0.25">
      <c r="A13" s="270" t="s">
        <v>104</v>
      </c>
      <c r="B13" s="270"/>
      <c r="C13" s="270">
        <v>3</v>
      </c>
    </row>
    <row r="14" spans="1:3" x14ac:dyDescent="0.25">
      <c r="A14" s="270" t="s">
        <v>105</v>
      </c>
      <c r="B14" s="270"/>
      <c r="C14" s="270">
        <v>10</v>
      </c>
    </row>
    <row r="15" spans="1:3" x14ac:dyDescent="0.25">
      <c r="A15" s="270" t="s">
        <v>106</v>
      </c>
      <c r="B15" s="270"/>
      <c r="C15" s="270">
        <v>5</v>
      </c>
    </row>
    <row r="16" spans="1:3" x14ac:dyDescent="0.25">
      <c r="A16" s="270" t="s">
        <v>107</v>
      </c>
      <c r="B16" s="270"/>
      <c r="C16" s="270">
        <v>2</v>
      </c>
    </row>
    <row r="17" spans="1:3" x14ac:dyDescent="0.25">
      <c r="A17" s="270" t="s">
        <v>108</v>
      </c>
      <c r="B17" s="270"/>
      <c r="C17" s="270">
        <v>2</v>
      </c>
    </row>
    <row r="18" spans="1:3" x14ac:dyDescent="0.25">
      <c r="A18" s="270" t="s">
        <v>109</v>
      </c>
      <c r="B18" s="270"/>
      <c r="C18" s="270">
        <v>5</v>
      </c>
    </row>
    <row r="19" spans="1:3" x14ac:dyDescent="0.25">
      <c r="A19" s="270" t="s">
        <v>110</v>
      </c>
      <c r="B19" s="270"/>
      <c r="C19" s="270">
        <v>5</v>
      </c>
    </row>
    <row r="20" spans="1:3" x14ac:dyDescent="0.25">
      <c r="A20" s="270" t="s">
        <v>111</v>
      </c>
      <c r="B20" s="270"/>
      <c r="C20" s="270">
        <v>1</v>
      </c>
    </row>
    <row r="21" spans="1:3" x14ac:dyDescent="0.25">
      <c r="A21" s="270"/>
      <c r="B21" s="270">
        <f>SUM(B2:B15)</f>
        <v>180</v>
      </c>
      <c r="C21" s="270">
        <f>SUM(C2:C20)</f>
        <v>180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56"/>
  <sheetViews>
    <sheetView topLeftCell="A15" zoomScaleNormal="100" workbookViewId="0">
      <selection activeCell="E12" sqref="E12:E34"/>
    </sheetView>
  </sheetViews>
  <sheetFormatPr defaultRowHeight="15" x14ac:dyDescent="0.25"/>
  <cols>
    <col min="1" max="1" width="4.28515625" customWidth="1"/>
    <col min="2" max="2" width="16.140625" customWidth="1"/>
    <col min="3" max="3" width="10.28515625" style="34" bestFit="1" customWidth="1"/>
    <col min="4" max="4" width="9.140625" style="4"/>
    <col min="5" max="5" width="11.140625" customWidth="1"/>
    <col min="7" max="7" width="11" customWidth="1"/>
    <col min="8" max="8" width="10.5703125" style="4" customWidth="1"/>
    <col min="10" max="10" width="10" customWidth="1"/>
    <col min="12" max="12" width="11.140625" customWidth="1"/>
  </cols>
  <sheetData>
    <row r="1" spans="1:12" ht="25.5" customHeight="1" x14ac:dyDescent="0.3">
      <c r="A1" s="234" t="s">
        <v>39</v>
      </c>
      <c r="B1" s="234"/>
      <c r="C1" s="234"/>
      <c r="D1" s="234"/>
      <c r="E1" s="234"/>
      <c r="F1" s="234"/>
      <c r="G1" s="234"/>
      <c r="H1" s="234"/>
      <c r="I1" s="234"/>
      <c r="J1" s="234"/>
    </row>
    <row r="2" spans="1:12" x14ac:dyDescent="0.25">
      <c r="A2" s="1" t="s">
        <v>0</v>
      </c>
      <c r="B2" s="1"/>
      <c r="C2" s="2"/>
      <c r="D2" s="3"/>
      <c r="E2" s="1"/>
      <c r="F2" s="1"/>
      <c r="G2" s="1" t="s">
        <v>1</v>
      </c>
      <c r="H2" s="3"/>
      <c r="I2" s="1"/>
      <c r="J2" s="1"/>
    </row>
    <row r="3" spans="1:12" x14ac:dyDescent="0.25">
      <c r="A3" s="35" t="s">
        <v>60</v>
      </c>
      <c r="B3" s="1"/>
      <c r="C3" s="2"/>
      <c r="D3" s="3"/>
      <c r="E3" s="1"/>
      <c r="F3" s="1"/>
      <c r="G3" s="1" t="s">
        <v>2</v>
      </c>
      <c r="H3" s="3"/>
      <c r="I3" s="1"/>
      <c r="J3" s="1"/>
    </row>
    <row r="4" spans="1:12" x14ac:dyDescent="0.25">
      <c r="A4" s="1"/>
      <c r="B4" s="1"/>
      <c r="C4" s="2"/>
      <c r="D4" s="3"/>
      <c r="E4" s="1"/>
      <c r="F4" s="1"/>
      <c r="G4" s="1"/>
      <c r="H4" s="3"/>
      <c r="I4" s="1"/>
      <c r="J4" s="1"/>
    </row>
    <row r="6" spans="1:12" ht="16.5" x14ac:dyDescent="0.25">
      <c r="A6" s="237" t="s">
        <v>3</v>
      </c>
      <c r="B6" s="237"/>
      <c r="C6" s="237"/>
      <c r="D6" s="237"/>
      <c r="E6" s="237"/>
      <c r="F6" s="237"/>
      <c r="G6" s="237"/>
      <c r="H6" s="237"/>
      <c r="I6" s="237"/>
      <c r="J6" s="237"/>
    </row>
    <row r="7" spans="1:12" ht="16.5" x14ac:dyDescent="0.25">
      <c r="A7" s="237" t="s">
        <v>61</v>
      </c>
      <c r="B7" s="237"/>
      <c r="C7" s="237"/>
      <c r="D7" s="237"/>
      <c r="E7" s="237"/>
      <c r="F7" s="237"/>
      <c r="G7" s="237"/>
      <c r="H7" s="237"/>
      <c r="I7" s="237"/>
      <c r="J7" s="237"/>
    </row>
    <row r="9" spans="1:12" x14ac:dyDescent="0.25">
      <c r="A9" s="238" t="s">
        <v>4</v>
      </c>
      <c r="B9" s="238" t="s">
        <v>5</v>
      </c>
      <c r="C9" s="238" t="s">
        <v>6</v>
      </c>
      <c r="D9" s="239" t="s">
        <v>7</v>
      </c>
      <c r="E9" s="238" t="s">
        <v>8</v>
      </c>
      <c r="F9" s="238"/>
      <c r="G9" s="238"/>
      <c r="H9" s="238"/>
      <c r="I9" s="238"/>
      <c r="J9" s="238"/>
    </row>
    <row r="10" spans="1:12" ht="71.25" x14ac:dyDescent="0.25">
      <c r="A10" s="238"/>
      <c r="B10" s="238"/>
      <c r="C10" s="238"/>
      <c r="D10" s="239"/>
      <c r="E10" s="7" t="s">
        <v>9</v>
      </c>
      <c r="F10" s="7" t="s">
        <v>10</v>
      </c>
      <c r="G10" s="7" t="s">
        <v>11</v>
      </c>
      <c r="H10" s="8" t="s">
        <v>12</v>
      </c>
      <c r="I10" s="7" t="s">
        <v>13</v>
      </c>
      <c r="J10" s="7" t="s">
        <v>14</v>
      </c>
    </row>
    <row r="11" spans="1:12" ht="15.75" thickBot="1" x14ac:dyDescent="0.3">
      <c r="A11" s="7" t="s">
        <v>15</v>
      </c>
      <c r="B11" s="7" t="s">
        <v>16</v>
      </c>
      <c r="C11" s="7" t="s">
        <v>17</v>
      </c>
      <c r="D11" s="8">
        <v>1</v>
      </c>
      <c r="E11" s="7">
        <v>2</v>
      </c>
      <c r="F11" s="7">
        <v>3</v>
      </c>
      <c r="G11" s="7">
        <v>4</v>
      </c>
      <c r="H11" s="8">
        <v>5</v>
      </c>
      <c r="I11" s="7" t="s">
        <v>18</v>
      </c>
      <c r="J11" s="7" t="s">
        <v>19</v>
      </c>
    </row>
    <row r="12" spans="1:12" s="13" customFormat="1" ht="15.75" thickBot="1" x14ac:dyDescent="0.3">
      <c r="A12" s="9"/>
      <c r="B12" s="9" t="s">
        <v>20</v>
      </c>
      <c r="C12" s="10" t="s">
        <v>21</v>
      </c>
      <c r="D12" s="101">
        <v>925705</v>
      </c>
      <c r="E12" s="11">
        <f>E13+E14+E15+E16</f>
        <v>72544</v>
      </c>
      <c r="F12" s="11">
        <f t="shared" ref="F12:H12" si="0">F13+F14+F15+F16</f>
        <v>58483.8</v>
      </c>
      <c r="G12" s="11">
        <f t="shared" si="0"/>
        <v>131027.8</v>
      </c>
      <c r="H12" s="11">
        <f t="shared" si="0"/>
        <v>124095</v>
      </c>
      <c r="I12" s="12">
        <f>G12/H12</f>
        <v>1.055866876183569</v>
      </c>
      <c r="J12" s="12">
        <f>G12/D12</f>
        <v>0.14154379634980907</v>
      </c>
      <c r="K12" s="178">
        <v>68716</v>
      </c>
      <c r="L12" s="185">
        <f>E12/K12</f>
        <v>1.0557075499155946</v>
      </c>
    </row>
    <row r="13" spans="1:12" ht="15.75" thickBot="1" x14ac:dyDescent="0.3">
      <c r="A13" s="15"/>
      <c r="B13" s="15" t="s">
        <v>22</v>
      </c>
      <c r="C13" s="16" t="s">
        <v>21</v>
      </c>
      <c r="D13" s="101"/>
      <c r="E13" s="17">
        <f>E20+E27+E31</f>
        <v>17314</v>
      </c>
      <c r="F13" s="17">
        <f>F20+F27+F31</f>
        <v>14301.95</v>
      </c>
      <c r="G13" s="17">
        <f>G20+G27+G31</f>
        <v>31615.95</v>
      </c>
      <c r="H13" s="17">
        <f>H20+H27+H31</f>
        <v>31083</v>
      </c>
      <c r="I13" s="12">
        <f t="shared" ref="I13:I15" si="1">G13/H13</f>
        <v>1.0171460283756395</v>
      </c>
      <c r="J13" s="12"/>
      <c r="K13" s="179">
        <v>17382</v>
      </c>
      <c r="L13" s="185">
        <f t="shared" ref="L13:L25" si="2">E13/K13</f>
        <v>0.99608790703026118</v>
      </c>
    </row>
    <row r="14" spans="1:12" ht="15.75" thickBot="1" x14ac:dyDescent="0.3">
      <c r="A14" s="15"/>
      <c r="B14" s="15" t="s">
        <v>23</v>
      </c>
      <c r="C14" s="16" t="s">
        <v>21</v>
      </c>
      <c r="D14" s="101"/>
      <c r="E14" s="17">
        <f>E22+E28+E32</f>
        <v>21594</v>
      </c>
      <c r="F14" s="17">
        <f>F22+F28+F32</f>
        <v>17943.599999999999</v>
      </c>
      <c r="G14" s="17">
        <f>G22+G28+G32</f>
        <v>39537.599999999999</v>
      </c>
      <c r="H14" s="17">
        <f>H22+H28+H32</f>
        <v>39135</v>
      </c>
      <c r="I14" s="12">
        <f t="shared" si="1"/>
        <v>1.0102874664622461</v>
      </c>
      <c r="J14" s="12"/>
      <c r="K14" s="179">
        <v>20933</v>
      </c>
      <c r="L14" s="185">
        <f t="shared" si="2"/>
        <v>1.0315769359384703</v>
      </c>
    </row>
    <row r="15" spans="1:12" ht="15.75" thickBot="1" x14ac:dyDescent="0.3">
      <c r="A15" s="15"/>
      <c r="B15" s="15" t="s">
        <v>24</v>
      </c>
      <c r="C15" s="16" t="s">
        <v>21</v>
      </c>
      <c r="D15" s="101"/>
      <c r="E15" s="17">
        <f>E24+E29+E33</f>
        <v>33205</v>
      </c>
      <c r="F15" s="17">
        <f>F24+F29+F33</f>
        <v>25893.45</v>
      </c>
      <c r="G15" s="17">
        <f>G24+G29+G33</f>
        <v>59098.450000000004</v>
      </c>
      <c r="H15" s="17">
        <f>H24+H29+H33</f>
        <v>53415</v>
      </c>
      <c r="I15" s="12">
        <f t="shared" si="1"/>
        <v>1.1064017598052982</v>
      </c>
      <c r="J15" s="12"/>
      <c r="K15" s="179">
        <v>30126</v>
      </c>
      <c r="L15" s="185">
        <f t="shared" si="2"/>
        <v>1.1022040762132377</v>
      </c>
    </row>
    <row r="16" spans="1:12" ht="15.75" thickBot="1" x14ac:dyDescent="0.3">
      <c r="A16" s="15"/>
      <c r="B16" s="42" t="s">
        <v>43</v>
      </c>
      <c r="C16" s="16" t="s">
        <v>21</v>
      </c>
      <c r="D16" s="101"/>
      <c r="E16" s="17">
        <v>431</v>
      </c>
      <c r="F16" s="17">
        <f>E16*0.8</f>
        <v>344.8</v>
      </c>
      <c r="G16" s="17">
        <f>E16+F16</f>
        <v>775.8</v>
      </c>
      <c r="H16" s="17">
        <v>462</v>
      </c>
      <c r="I16" s="12"/>
      <c r="J16" s="12"/>
      <c r="K16" s="180">
        <v>275</v>
      </c>
      <c r="L16" s="185">
        <f t="shared" si="2"/>
        <v>1.5672727272727274</v>
      </c>
    </row>
    <row r="17" spans="1:12" ht="15.75" thickBot="1" x14ac:dyDescent="0.3">
      <c r="A17" s="15"/>
      <c r="B17" s="15" t="s">
        <v>26</v>
      </c>
      <c r="C17" s="16"/>
      <c r="D17" s="102" t="s">
        <v>52</v>
      </c>
      <c r="E17" s="17"/>
      <c r="F17" s="17"/>
      <c r="G17" s="17"/>
      <c r="H17" s="17"/>
      <c r="I17" s="12"/>
      <c r="J17" s="12"/>
      <c r="K17" s="181"/>
      <c r="L17" s="185" t="e">
        <f t="shared" si="2"/>
        <v>#DIV/0!</v>
      </c>
    </row>
    <row r="18" spans="1:12" s="24" customFormat="1" ht="15.75" thickBot="1" x14ac:dyDescent="0.3">
      <c r="A18" s="20">
        <v>1</v>
      </c>
      <c r="B18" s="20" t="s">
        <v>27</v>
      </c>
      <c r="C18" s="21" t="s">
        <v>21</v>
      </c>
      <c r="D18" s="101">
        <v>314571</v>
      </c>
      <c r="E18" s="22">
        <f>E20+E22+E24</f>
        <v>25178</v>
      </c>
      <c r="F18" s="22">
        <f t="shared" ref="F18:G18" si="3">F20+F22+F24</f>
        <v>19277.099999999999</v>
      </c>
      <c r="G18" s="22">
        <f t="shared" si="3"/>
        <v>44455.1</v>
      </c>
      <c r="H18" s="68">
        <f>H20+H22+H24</f>
        <v>40249</v>
      </c>
      <c r="I18" s="12">
        <f>G18/H18</f>
        <v>1.1045019752043528</v>
      </c>
      <c r="J18" s="23"/>
      <c r="K18" s="182">
        <v>23895</v>
      </c>
      <c r="L18" s="185">
        <f t="shared" si="2"/>
        <v>1.0536932412638627</v>
      </c>
    </row>
    <row r="19" spans="1:12" ht="15.75" customHeight="1" thickBot="1" x14ac:dyDescent="0.3">
      <c r="A19" s="20"/>
      <c r="B19" s="20"/>
      <c r="C19" s="21" t="s">
        <v>28</v>
      </c>
      <c r="D19" s="101">
        <v>32020</v>
      </c>
      <c r="E19" s="22">
        <f>E21+E23+E25</f>
        <v>2732</v>
      </c>
      <c r="F19" s="22">
        <f t="shared" ref="F19:H19" si="4">F21+F23+F25</f>
        <v>1999</v>
      </c>
      <c r="G19" s="22">
        <f t="shared" si="4"/>
        <v>4731</v>
      </c>
      <c r="H19" s="68">
        <f t="shared" si="4"/>
        <v>4064</v>
      </c>
      <c r="I19" s="12">
        <f>G19/H19</f>
        <v>1.1641240157480315</v>
      </c>
      <c r="J19" s="12">
        <f>G19/D19</f>
        <v>0.14775140537164272</v>
      </c>
      <c r="K19" s="182">
        <v>2457</v>
      </c>
      <c r="L19" s="185">
        <f t="shared" si="2"/>
        <v>1.1119251119251119</v>
      </c>
    </row>
    <row r="20" spans="1:12" ht="15.75" customHeight="1" thickBot="1" x14ac:dyDescent="0.3">
      <c r="A20" s="15"/>
      <c r="B20" s="15" t="s">
        <v>29</v>
      </c>
      <c r="C20" s="16" t="s">
        <v>30</v>
      </c>
      <c r="D20" s="101"/>
      <c r="E20" s="27">
        <v>8299</v>
      </c>
      <c r="F20" s="27">
        <f>E20*0.8</f>
        <v>6639.2000000000007</v>
      </c>
      <c r="G20" s="17">
        <f t="shared" ref="G20:G25" si="5">E20+F20</f>
        <v>14938.2</v>
      </c>
      <c r="H20" s="72">
        <v>14681</v>
      </c>
      <c r="I20" s="12"/>
      <c r="J20" s="12"/>
      <c r="K20" s="183">
        <v>8214</v>
      </c>
      <c r="L20" s="185">
        <f t="shared" si="2"/>
        <v>1.0103481860238617</v>
      </c>
    </row>
    <row r="21" spans="1:12" ht="15.75" customHeight="1" thickBot="1" x14ac:dyDescent="0.3">
      <c r="A21" s="15"/>
      <c r="B21" s="15"/>
      <c r="C21" s="16" t="s">
        <v>28</v>
      </c>
      <c r="D21" s="101"/>
      <c r="E21" s="27">
        <v>837</v>
      </c>
      <c r="F21" s="27">
        <f>E21*0.75</f>
        <v>627.75</v>
      </c>
      <c r="G21" s="17">
        <f t="shared" si="5"/>
        <v>1464.75</v>
      </c>
      <c r="H21" s="72">
        <v>1412</v>
      </c>
      <c r="I21" s="12"/>
      <c r="J21" s="12"/>
      <c r="K21" s="184">
        <v>802</v>
      </c>
      <c r="L21" s="185">
        <f t="shared" si="2"/>
        <v>1.0436408977556109</v>
      </c>
    </row>
    <row r="22" spans="1:12" ht="15.75" thickBot="1" x14ac:dyDescent="0.3">
      <c r="A22" s="15"/>
      <c r="B22" s="15" t="s">
        <v>31</v>
      </c>
      <c r="C22" s="16" t="s">
        <v>30</v>
      </c>
      <c r="D22" s="101"/>
      <c r="E22" s="27">
        <v>8226</v>
      </c>
      <c r="F22" s="27">
        <f>E22*0.8</f>
        <v>6580.8</v>
      </c>
      <c r="G22" s="17">
        <f t="shared" si="5"/>
        <v>14806.8</v>
      </c>
      <c r="H22" s="72">
        <v>13875</v>
      </c>
      <c r="I22" s="12"/>
      <c r="J22" s="12"/>
      <c r="K22" s="183">
        <v>7883</v>
      </c>
      <c r="L22" s="185">
        <f t="shared" si="2"/>
        <v>1.0435113535456044</v>
      </c>
    </row>
    <row r="23" spans="1:12" ht="15.75" thickBot="1" x14ac:dyDescent="0.3">
      <c r="A23" s="15"/>
      <c r="B23" s="15"/>
      <c r="C23" s="16" t="s">
        <v>28</v>
      </c>
      <c r="D23" s="101"/>
      <c r="E23" s="27">
        <v>895</v>
      </c>
      <c r="F23" s="27">
        <f>E23*0.75</f>
        <v>671.25</v>
      </c>
      <c r="G23" s="17">
        <f t="shared" si="5"/>
        <v>1566.25</v>
      </c>
      <c r="H23" s="72">
        <v>1366</v>
      </c>
      <c r="I23" s="12"/>
      <c r="J23" s="12"/>
      <c r="K23" s="184">
        <v>759</v>
      </c>
      <c r="L23" s="185">
        <f t="shared" si="2"/>
        <v>1.1791831357048748</v>
      </c>
    </row>
    <row r="24" spans="1:12" ht="15.75" thickBot="1" x14ac:dyDescent="0.3">
      <c r="A24" s="15"/>
      <c r="B24" s="15" t="s">
        <v>32</v>
      </c>
      <c r="C24" s="16" t="s">
        <v>30</v>
      </c>
      <c r="D24" s="101"/>
      <c r="E24" s="27">
        <v>8653</v>
      </c>
      <c r="F24" s="27">
        <f>E24*0.7</f>
        <v>6057.0999999999995</v>
      </c>
      <c r="G24" s="17">
        <f t="shared" si="5"/>
        <v>14710.099999999999</v>
      </c>
      <c r="H24" s="72">
        <v>11693</v>
      </c>
      <c r="I24" s="12"/>
      <c r="J24" s="12"/>
      <c r="K24" s="183">
        <v>7798</v>
      </c>
      <c r="L24" s="185">
        <f t="shared" si="2"/>
        <v>1.1096434983329058</v>
      </c>
    </row>
    <row r="25" spans="1:12" ht="15.75" thickBot="1" x14ac:dyDescent="0.3">
      <c r="A25" s="15"/>
      <c r="B25" s="15"/>
      <c r="C25" s="16" t="s">
        <v>28</v>
      </c>
      <c r="D25" s="101"/>
      <c r="E25" s="27">
        <v>1000</v>
      </c>
      <c r="F25" s="27">
        <f>E25*0.7</f>
        <v>700</v>
      </c>
      <c r="G25" s="17">
        <f t="shared" si="5"/>
        <v>1700</v>
      </c>
      <c r="H25" s="72">
        <v>1286</v>
      </c>
      <c r="I25" s="12"/>
      <c r="J25" s="12"/>
      <c r="K25" s="184">
        <v>896</v>
      </c>
      <c r="L25" s="185">
        <f t="shared" si="2"/>
        <v>1.1160714285714286</v>
      </c>
    </row>
    <row r="26" spans="1:12" s="24" customFormat="1" x14ac:dyDescent="0.25">
      <c r="A26" s="20">
        <v>2</v>
      </c>
      <c r="B26" s="20" t="s">
        <v>33</v>
      </c>
      <c r="C26" s="21" t="s">
        <v>21</v>
      </c>
      <c r="D26" s="101">
        <v>88897</v>
      </c>
      <c r="E26" s="22">
        <f>E27+E28+E29</f>
        <v>7226</v>
      </c>
      <c r="F26" s="22">
        <f t="shared" ref="F26:G26" si="6">F27+F28+F29</f>
        <v>6142.1</v>
      </c>
      <c r="G26" s="22">
        <f t="shared" si="6"/>
        <v>13368.1</v>
      </c>
      <c r="H26" s="22">
        <f>H27+H28+H29</f>
        <v>14058</v>
      </c>
      <c r="I26" s="12">
        <f>G26/H26</f>
        <v>0.9509247403613601</v>
      </c>
      <c r="J26" s="23">
        <f>G26/D26</f>
        <v>0.15037740306197059</v>
      </c>
    </row>
    <row r="27" spans="1:12" x14ac:dyDescent="0.25">
      <c r="A27" s="15"/>
      <c r="B27" s="15" t="s">
        <v>29</v>
      </c>
      <c r="C27" s="16" t="s">
        <v>21</v>
      </c>
      <c r="D27" s="101"/>
      <c r="E27" s="27">
        <v>286</v>
      </c>
      <c r="F27" s="27">
        <f>E27*0.85</f>
        <v>243.1</v>
      </c>
      <c r="G27" s="17">
        <f>E27+F27</f>
        <v>529.1</v>
      </c>
      <c r="H27" s="27">
        <v>836</v>
      </c>
      <c r="I27" s="12"/>
      <c r="J27" s="12"/>
    </row>
    <row r="28" spans="1:12" x14ac:dyDescent="0.25">
      <c r="A28" s="15"/>
      <c r="B28" s="15" t="s">
        <v>34</v>
      </c>
      <c r="C28" s="16" t="s">
        <v>21</v>
      </c>
      <c r="D28" s="101"/>
      <c r="E28" s="27">
        <v>3045</v>
      </c>
      <c r="F28" s="27">
        <f>E28*0.85</f>
        <v>2588.25</v>
      </c>
      <c r="G28" s="17">
        <f>E28+F28</f>
        <v>5633.25</v>
      </c>
      <c r="H28" s="27">
        <v>5271</v>
      </c>
      <c r="I28" s="12"/>
      <c r="J28" s="12"/>
    </row>
    <row r="29" spans="1:12" ht="15.75" customHeight="1" x14ac:dyDescent="0.25">
      <c r="A29" s="15"/>
      <c r="B29" s="15" t="s">
        <v>32</v>
      </c>
      <c r="C29" s="16" t="s">
        <v>21</v>
      </c>
      <c r="D29" s="101"/>
      <c r="E29" s="27">
        <v>3895</v>
      </c>
      <c r="F29" s="27">
        <f>E29*0.85</f>
        <v>3310.75</v>
      </c>
      <c r="G29" s="17">
        <f>E29+F29</f>
        <v>7205.75</v>
      </c>
      <c r="H29" s="27">
        <v>7951</v>
      </c>
      <c r="I29" s="12"/>
      <c r="J29" s="12"/>
    </row>
    <row r="30" spans="1:12" s="24" customFormat="1" x14ac:dyDescent="0.25">
      <c r="A30" s="20">
        <v>3</v>
      </c>
      <c r="B30" s="20" t="s">
        <v>35</v>
      </c>
      <c r="C30" s="21" t="s">
        <v>21</v>
      </c>
      <c r="D30" s="101">
        <v>517053</v>
      </c>
      <c r="E30" s="22">
        <f>E31+E32+E33</f>
        <v>39709</v>
      </c>
      <c r="F30" s="22">
        <f t="shared" ref="F30:G30" si="7">F31+F32+F33</f>
        <v>32719.800000000003</v>
      </c>
      <c r="G30" s="22">
        <f t="shared" si="7"/>
        <v>72428.800000000003</v>
      </c>
      <c r="H30" s="22">
        <f>H31+H32+H33</f>
        <v>69326</v>
      </c>
      <c r="I30" s="23">
        <f>G30/H30</f>
        <v>1.0447566569541009</v>
      </c>
      <c r="J30" s="23">
        <f>G30/D30</f>
        <v>0.14008003048043433</v>
      </c>
    </row>
    <row r="31" spans="1:12" x14ac:dyDescent="0.25">
      <c r="A31" s="15"/>
      <c r="B31" s="15" t="s">
        <v>29</v>
      </c>
      <c r="C31" s="16" t="s">
        <v>21</v>
      </c>
      <c r="D31" s="101"/>
      <c r="E31" s="27">
        <v>8729</v>
      </c>
      <c r="F31" s="27">
        <f>E31*0.85</f>
        <v>7419.65</v>
      </c>
      <c r="G31" s="17">
        <f>F31+E31</f>
        <v>16148.65</v>
      </c>
      <c r="H31" s="27">
        <v>15566</v>
      </c>
      <c r="I31" s="23"/>
      <c r="J31" s="12"/>
    </row>
    <row r="32" spans="1:12" x14ac:dyDescent="0.25">
      <c r="A32" s="15"/>
      <c r="B32" s="15" t="s">
        <v>34</v>
      </c>
      <c r="C32" s="16" t="s">
        <v>21</v>
      </c>
      <c r="D32" s="101"/>
      <c r="E32" s="27">
        <v>10323</v>
      </c>
      <c r="F32" s="27">
        <f>E32*0.85</f>
        <v>8774.5499999999993</v>
      </c>
      <c r="G32" s="17">
        <f>F32+E32</f>
        <v>19097.55</v>
      </c>
      <c r="H32" s="27">
        <v>19989</v>
      </c>
      <c r="I32" s="23"/>
      <c r="J32" s="12"/>
    </row>
    <row r="33" spans="1:10" ht="15.75" customHeight="1" x14ac:dyDescent="0.25">
      <c r="A33" s="15"/>
      <c r="B33" s="15" t="s">
        <v>32</v>
      </c>
      <c r="C33" s="16" t="s">
        <v>21</v>
      </c>
      <c r="D33" s="101"/>
      <c r="E33" s="27">
        <v>20657</v>
      </c>
      <c r="F33" s="27">
        <f>E33*0.8</f>
        <v>16525.600000000002</v>
      </c>
      <c r="G33" s="17">
        <f>F33+E33</f>
        <v>37182.600000000006</v>
      </c>
      <c r="H33" s="27">
        <v>33771</v>
      </c>
      <c r="I33" s="23"/>
      <c r="J33" s="12"/>
    </row>
    <row r="34" spans="1:10" s="24" customFormat="1" x14ac:dyDescent="0.25">
      <c r="A34" s="20">
        <v>4</v>
      </c>
      <c r="B34" s="20" t="s">
        <v>25</v>
      </c>
      <c r="C34" s="21" t="s">
        <v>21</v>
      </c>
      <c r="D34" s="101">
        <v>89834</v>
      </c>
      <c r="E34" s="26">
        <v>7581</v>
      </c>
      <c r="F34" s="36">
        <f>E34*0.85</f>
        <v>6443.8499999999995</v>
      </c>
      <c r="G34" s="22">
        <f>E34+F34</f>
        <v>14024.849999999999</v>
      </c>
      <c r="H34" s="26">
        <v>13706</v>
      </c>
      <c r="I34" s="23">
        <f>G34/H34</f>
        <v>1.0232635342185903</v>
      </c>
      <c r="J34" s="23">
        <f>G34/D34</f>
        <v>0.15611962063361309</v>
      </c>
    </row>
    <row r="35" spans="1:10" x14ac:dyDescent="0.25">
      <c r="A35" s="15"/>
      <c r="B35" s="15"/>
      <c r="C35" s="16"/>
      <c r="D35" s="17"/>
      <c r="E35" s="15"/>
      <c r="F35" s="15"/>
      <c r="G35" s="15"/>
      <c r="H35" s="17"/>
      <c r="I35" s="29"/>
      <c r="J35" s="29"/>
    </row>
    <row r="36" spans="1:10" x14ac:dyDescent="0.25">
      <c r="A36" s="30"/>
      <c r="B36" s="30"/>
      <c r="C36" s="31"/>
      <c r="D36" s="32"/>
      <c r="E36" s="30"/>
      <c r="F36" s="30"/>
      <c r="G36" s="30"/>
      <c r="H36" s="32"/>
      <c r="I36" s="30"/>
      <c r="J36" s="30"/>
    </row>
    <row r="37" spans="1:10" ht="31.5" customHeight="1" x14ac:dyDescent="0.25">
      <c r="A37" s="240" t="s">
        <v>38</v>
      </c>
      <c r="B37" s="240"/>
      <c r="C37" s="240"/>
      <c r="D37" s="240"/>
      <c r="E37" s="240"/>
      <c r="F37" s="240"/>
      <c r="G37" s="240"/>
      <c r="H37" s="240"/>
      <c r="I37" s="240"/>
      <c r="J37" s="240"/>
    </row>
    <row r="38" spans="1:10" ht="16.5" customHeight="1" x14ac:dyDescent="0.25">
      <c r="A38" s="33"/>
      <c r="B38" s="33"/>
      <c r="C38" s="31"/>
      <c r="D38" s="32"/>
      <c r="E38" s="30"/>
      <c r="F38" s="30"/>
      <c r="G38" s="30"/>
      <c r="H38" s="32"/>
      <c r="I38" s="30"/>
      <c r="J38" s="30"/>
    </row>
    <row r="39" spans="1:10" ht="15.75" x14ac:dyDescent="0.25">
      <c r="A39" s="33"/>
      <c r="B39" s="33"/>
      <c r="C39" s="31"/>
      <c r="D39" s="32"/>
      <c r="E39" s="30"/>
      <c r="F39" s="30"/>
      <c r="G39" s="30"/>
      <c r="H39" s="32"/>
      <c r="I39" s="30"/>
      <c r="J39" s="30"/>
    </row>
    <row r="40" spans="1:10" ht="15.75" x14ac:dyDescent="0.25">
      <c r="A40" s="33"/>
      <c r="B40" s="33"/>
      <c r="C40" s="31"/>
      <c r="D40" s="32"/>
      <c r="E40" s="30"/>
      <c r="F40" s="30"/>
      <c r="G40" s="30"/>
      <c r="H40" s="32"/>
      <c r="I40" s="30"/>
      <c r="J40" s="30"/>
    </row>
    <row r="41" spans="1:10" ht="15.75" x14ac:dyDescent="0.25">
      <c r="A41" s="33"/>
      <c r="B41" s="33"/>
      <c r="C41" s="31"/>
      <c r="D41" s="32"/>
      <c r="E41" s="30"/>
      <c r="F41" s="30"/>
      <c r="G41" s="30"/>
      <c r="H41" s="32"/>
      <c r="I41" s="30"/>
      <c r="J41" s="30"/>
    </row>
    <row r="42" spans="1:10" ht="15.75" x14ac:dyDescent="0.25">
      <c r="A42" s="33"/>
      <c r="B42" s="33"/>
      <c r="C42" s="31"/>
      <c r="D42" s="32"/>
      <c r="E42" s="30"/>
      <c r="F42" s="30"/>
      <c r="G42" s="30"/>
      <c r="H42" s="32"/>
      <c r="I42" s="30"/>
      <c r="J42" s="30"/>
    </row>
    <row r="43" spans="1:10" ht="15.75" x14ac:dyDescent="0.25">
      <c r="A43" s="235"/>
      <c r="B43" s="235"/>
      <c r="C43" s="31"/>
      <c r="D43" s="32"/>
      <c r="E43" s="30"/>
      <c r="F43" s="30"/>
      <c r="G43" s="30"/>
      <c r="H43" s="32"/>
      <c r="I43" s="30"/>
      <c r="J43" s="30"/>
    </row>
    <row r="44" spans="1:10" ht="15.75" x14ac:dyDescent="0.25">
      <c r="A44" s="236"/>
      <c r="B44" s="236"/>
      <c r="C44" s="31"/>
      <c r="D44" s="32"/>
      <c r="E44" s="30"/>
      <c r="F44" s="30"/>
      <c r="G44" s="30"/>
      <c r="H44" s="32"/>
      <c r="I44" s="30"/>
      <c r="J44" s="30"/>
    </row>
    <row r="45" spans="1:10" x14ac:dyDescent="0.25">
      <c r="A45" s="30"/>
      <c r="B45" s="30"/>
      <c r="C45" s="31"/>
      <c r="D45" s="32"/>
      <c r="E45" s="30"/>
      <c r="F45" s="30"/>
      <c r="G45" s="30"/>
      <c r="H45" s="32"/>
      <c r="I45" s="30"/>
      <c r="J45" s="30"/>
    </row>
    <row r="46" spans="1:10" x14ac:dyDescent="0.25">
      <c r="A46" s="30"/>
      <c r="B46" s="30"/>
      <c r="C46" s="31"/>
      <c r="D46" s="32"/>
      <c r="E46" s="30"/>
      <c r="F46" s="30"/>
      <c r="G46" s="30"/>
      <c r="H46" s="32"/>
      <c r="I46" s="30"/>
      <c r="J46" s="30"/>
    </row>
    <row r="47" spans="1:10" x14ac:dyDescent="0.25">
      <c r="A47" s="30"/>
      <c r="B47" s="30"/>
      <c r="C47" s="31"/>
      <c r="D47" s="32"/>
      <c r="E47" s="30"/>
      <c r="F47" s="30"/>
      <c r="G47" s="30"/>
      <c r="H47" s="32"/>
      <c r="I47" s="30"/>
      <c r="J47" s="30"/>
    </row>
    <row r="48" spans="1:10" x14ac:dyDescent="0.25">
      <c r="A48" s="30"/>
      <c r="B48" s="30"/>
      <c r="C48" s="31"/>
      <c r="D48" s="32"/>
      <c r="E48" s="30"/>
      <c r="F48" s="30"/>
      <c r="G48" s="30"/>
      <c r="H48" s="32"/>
      <c r="I48" s="30"/>
      <c r="J48" s="30"/>
    </row>
    <row r="49" spans="1:10" x14ac:dyDescent="0.25">
      <c r="A49" s="30"/>
      <c r="B49" s="30"/>
      <c r="C49" s="31"/>
      <c r="D49" s="32"/>
      <c r="E49" s="30"/>
      <c r="F49" s="30"/>
      <c r="G49" s="30"/>
      <c r="H49" s="32"/>
      <c r="I49" s="30"/>
      <c r="J49" s="30"/>
    </row>
    <row r="50" spans="1:10" x14ac:dyDescent="0.25">
      <c r="A50" s="30"/>
      <c r="B50" s="30"/>
      <c r="C50" s="31"/>
      <c r="D50" s="32"/>
      <c r="E50" s="30"/>
      <c r="F50" s="30"/>
      <c r="G50" s="30"/>
      <c r="H50" s="32"/>
      <c r="I50" s="30"/>
      <c r="J50" s="30"/>
    </row>
    <row r="51" spans="1:10" x14ac:dyDescent="0.25">
      <c r="A51" s="30"/>
      <c r="B51" s="30"/>
      <c r="C51" s="31"/>
      <c r="D51" s="32"/>
      <c r="E51" s="30"/>
      <c r="F51" s="30"/>
      <c r="G51" s="30"/>
      <c r="H51" s="32"/>
      <c r="I51" s="30"/>
      <c r="J51" s="30"/>
    </row>
    <row r="52" spans="1:10" x14ac:dyDescent="0.25">
      <c r="A52" s="30"/>
      <c r="B52" s="30"/>
      <c r="C52" s="31"/>
      <c r="D52" s="32"/>
      <c r="E52" s="30"/>
      <c r="F52" s="30"/>
      <c r="G52" s="30"/>
      <c r="H52" s="32"/>
      <c r="I52" s="30"/>
      <c r="J52" s="30"/>
    </row>
    <row r="53" spans="1:10" x14ac:dyDescent="0.25">
      <c r="A53" s="30"/>
      <c r="B53" s="30"/>
      <c r="C53" s="31"/>
      <c r="D53" s="32"/>
      <c r="E53" s="30"/>
      <c r="F53" s="30"/>
      <c r="G53" s="30"/>
      <c r="H53" s="32"/>
      <c r="I53" s="30"/>
      <c r="J53" s="30"/>
    </row>
    <row r="54" spans="1:10" x14ac:dyDescent="0.25">
      <c r="A54" s="30"/>
      <c r="B54" s="30"/>
      <c r="C54" s="31"/>
      <c r="D54" s="32"/>
      <c r="E54" s="30"/>
      <c r="F54" s="30"/>
      <c r="G54" s="30"/>
      <c r="H54" s="32"/>
      <c r="I54" s="30"/>
      <c r="J54" s="30"/>
    </row>
    <row r="55" spans="1:10" x14ac:dyDescent="0.25">
      <c r="A55" s="30"/>
      <c r="B55" s="30"/>
      <c r="C55" s="31"/>
      <c r="D55" s="32"/>
      <c r="E55" s="30"/>
      <c r="F55" s="30"/>
      <c r="G55" s="30"/>
      <c r="H55" s="32"/>
      <c r="I55" s="30"/>
      <c r="J55" s="30"/>
    </row>
    <row r="56" spans="1:10" x14ac:dyDescent="0.25">
      <c r="A56" s="30"/>
      <c r="B56" s="30"/>
      <c r="C56" s="31"/>
      <c r="D56" s="32"/>
      <c r="E56" s="30"/>
      <c r="F56" s="30"/>
      <c r="G56" s="30"/>
      <c r="H56" s="32"/>
      <c r="I56" s="30"/>
      <c r="J56" s="30"/>
    </row>
  </sheetData>
  <mergeCells count="11">
    <mergeCell ref="A1:J1"/>
    <mergeCell ref="A43:B43"/>
    <mergeCell ref="A44:B44"/>
    <mergeCell ref="A6:J6"/>
    <mergeCell ref="A7:J7"/>
    <mergeCell ref="A9:A10"/>
    <mergeCell ref="B9:B10"/>
    <mergeCell ref="C9:C10"/>
    <mergeCell ref="D9:D10"/>
    <mergeCell ref="E9:J9"/>
    <mergeCell ref="A37:J37"/>
  </mergeCells>
  <phoneticPr fontId="12" type="noConversion"/>
  <pageMargins left="0.45" right="0.2" top="0.5" bottom="0.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55"/>
  <sheetViews>
    <sheetView topLeftCell="A7" zoomScale="85" zoomScaleNormal="85" workbookViewId="0">
      <selection activeCell="E11" sqref="E11:E33"/>
    </sheetView>
  </sheetViews>
  <sheetFormatPr defaultRowHeight="15" x14ac:dyDescent="0.25"/>
  <cols>
    <col min="1" max="1" width="4.28515625" style="47" customWidth="1"/>
    <col min="2" max="2" width="21.5703125" style="47" customWidth="1"/>
    <col min="3" max="3" width="11.28515625" style="80" customWidth="1"/>
    <col min="4" max="4" width="8.7109375" style="48" customWidth="1"/>
    <col min="5" max="5" width="8.5703125" style="47" customWidth="1"/>
    <col min="6" max="6" width="8.85546875" style="47" customWidth="1"/>
    <col min="7" max="7" width="10" style="47" customWidth="1"/>
    <col min="8" max="8" width="9" style="48" customWidth="1"/>
    <col min="9" max="10" width="8.28515625" style="47" customWidth="1"/>
    <col min="11" max="13" width="9.140625" style="47"/>
    <col min="14" max="14" width="11.140625" style="48" bestFit="1" customWidth="1"/>
    <col min="15" max="16384" width="9.140625" style="47"/>
  </cols>
  <sheetData>
    <row r="1" spans="1:14" ht="25.5" customHeight="1" x14ac:dyDescent="0.3">
      <c r="A1" s="242" t="s">
        <v>39</v>
      </c>
      <c r="B1" s="242"/>
      <c r="C1" s="242"/>
      <c r="D1" s="242"/>
      <c r="E1" s="242"/>
      <c r="F1" s="242"/>
      <c r="G1" s="242"/>
      <c r="H1" s="242"/>
      <c r="I1" s="242"/>
      <c r="J1" s="242"/>
    </row>
    <row r="2" spans="1:14" ht="31.5" customHeight="1" x14ac:dyDescent="0.25">
      <c r="A2" s="49" t="s">
        <v>46</v>
      </c>
      <c r="B2" s="49"/>
      <c r="C2" s="50"/>
      <c r="D2" s="51"/>
      <c r="E2" s="49"/>
      <c r="F2" s="49"/>
      <c r="G2" s="248" t="s">
        <v>64</v>
      </c>
      <c r="H2" s="248"/>
      <c r="I2" s="248"/>
      <c r="J2" s="248"/>
    </row>
    <row r="3" spans="1:14" x14ac:dyDescent="0.25">
      <c r="A3" s="49" t="s">
        <v>62</v>
      </c>
      <c r="B3" s="49"/>
      <c r="C3" s="50"/>
      <c r="D3" s="51"/>
      <c r="E3" s="49"/>
      <c r="F3" s="49"/>
      <c r="G3" s="49" t="s">
        <v>65</v>
      </c>
      <c r="H3" s="51"/>
      <c r="I3" s="49"/>
      <c r="J3" s="49"/>
    </row>
    <row r="5" spans="1:14" ht="16.5" x14ac:dyDescent="0.25">
      <c r="A5" s="243" t="s">
        <v>3</v>
      </c>
      <c r="B5" s="243"/>
      <c r="C5" s="243"/>
      <c r="D5" s="243"/>
      <c r="E5" s="243"/>
      <c r="F5" s="243"/>
      <c r="G5" s="243"/>
      <c r="H5" s="243"/>
      <c r="I5" s="243"/>
      <c r="J5" s="243"/>
    </row>
    <row r="6" spans="1:14" ht="16.5" x14ac:dyDescent="0.25">
      <c r="A6" s="243" t="s">
        <v>63</v>
      </c>
      <c r="B6" s="243"/>
      <c r="C6" s="243"/>
      <c r="D6" s="243"/>
      <c r="E6" s="243"/>
      <c r="F6" s="243"/>
      <c r="G6" s="243"/>
      <c r="H6" s="243"/>
      <c r="I6" s="243"/>
      <c r="J6" s="243"/>
    </row>
    <row r="8" spans="1:14" x14ac:dyDescent="0.25">
      <c r="A8" s="244" t="s">
        <v>4</v>
      </c>
      <c r="B8" s="244" t="s">
        <v>5</v>
      </c>
      <c r="C8" s="244" t="s">
        <v>6</v>
      </c>
      <c r="D8" s="245" t="s">
        <v>7</v>
      </c>
      <c r="E8" s="244" t="s">
        <v>8</v>
      </c>
      <c r="F8" s="244"/>
      <c r="G8" s="244"/>
      <c r="H8" s="244"/>
      <c r="I8" s="244"/>
      <c r="J8" s="244"/>
    </row>
    <row r="9" spans="1:14" ht="85.5" x14ac:dyDescent="0.25">
      <c r="A9" s="244"/>
      <c r="B9" s="244"/>
      <c r="C9" s="244"/>
      <c r="D9" s="245"/>
      <c r="E9" s="53" t="s">
        <v>9</v>
      </c>
      <c r="F9" s="53" t="s">
        <v>10</v>
      </c>
      <c r="G9" s="53" t="s">
        <v>11</v>
      </c>
      <c r="H9" s="54" t="s">
        <v>12</v>
      </c>
      <c r="I9" s="53" t="s">
        <v>13</v>
      </c>
      <c r="J9" s="53" t="s">
        <v>14</v>
      </c>
    </row>
    <row r="10" spans="1:14" x14ac:dyDescent="0.25">
      <c r="A10" s="53" t="s">
        <v>15</v>
      </c>
      <c r="B10" s="53" t="s">
        <v>16</v>
      </c>
      <c r="C10" s="53" t="s">
        <v>17</v>
      </c>
      <c r="D10" s="54">
        <v>1</v>
      </c>
      <c r="E10" s="53">
        <v>2</v>
      </c>
      <c r="F10" s="53">
        <v>3</v>
      </c>
      <c r="G10" s="53">
        <v>4</v>
      </c>
      <c r="H10" s="54">
        <v>5</v>
      </c>
      <c r="I10" s="53" t="s">
        <v>18</v>
      </c>
      <c r="J10" s="53" t="s">
        <v>19</v>
      </c>
    </row>
    <row r="11" spans="1:14" s="61" customFormat="1" x14ac:dyDescent="0.25">
      <c r="A11" s="55"/>
      <c r="B11" s="55" t="s">
        <v>20</v>
      </c>
      <c r="C11" s="56" t="s">
        <v>21</v>
      </c>
      <c r="D11" s="123">
        <v>925705</v>
      </c>
      <c r="E11" s="59">
        <f>E12+E13+E14+E15</f>
        <v>135380</v>
      </c>
      <c r="F11" s="59">
        <f>F12+F13+F14+F15</f>
        <v>74459</v>
      </c>
      <c r="G11" s="59">
        <f>G12+G13+G14+G15</f>
        <v>209839</v>
      </c>
      <c r="H11" s="59">
        <f>H12+H13+H14+H15</f>
        <v>201399</v>
      </c>
      <c r="I11" s="60">
        <f>G11/H11</f>
        <v>1.041906861503781</v>
      </c>
      <c r="J11" s="60">
        <f>G11/D11</f>
        <v>0.22668020589712706</v>
      </c>
      <c r="N11" s="57"/>
    </row>
    <row r="12" spans="1:14" x14ac:dyDescent="0.25">
      <c r="A12" s="62"/>
      <c r="B12" s="62" t="s">
        <v>22</v>
      </c>
      <c r="C12" s="63" t="s">
        <v>21</v>
      </c>
      <c r="D12" s="123"/>
      <c r="E12" s="64">
        <f>E19+E26+E30</f>
        <v>31376</v>
      </c>
      <c r="F12" s="64">
        <f>F19+F26+F30</f>
        <v>17256.800000000003</v>
      </c>
      <c r="G12" s="64">
        <f>G19+G26+G30</f>
        <v>48632.800000000003</v>
      </c>
      <c r="H12" s="64">
        <f>H19+H26+H30</f>
        <v>49246</v>
      </c>
      <c r="I12" s="60">
        <f t="shared" ref="I12:I14" si="0">G12/H12</f>
        <v>0.98754822726718927</v>
      </c>
      <c r="J12" s="60"/>
    </row>
    <row r="13" spans="1:14" x14ac:dyDescent="0.25">
      <c r="A13" s="62"/>
      <c r="B13" s="62" t="s">
        <v>23</v>
      </c>
      <c r="C13" s="63" t="s">
        <v>21</v>
      </c>
      <c r="D13" s="123"/>
      <c r="E13" s="64">
        <f>E21+E27+E31</f>
        <v>42158</v>
      </c>
      <c r="F13" s="64">
        <f>F21+F27+F31</f>
        <v>23186.9</v>
      </c>
      <c r="G13" s="64">
        <f>G21+G27+G31</f>
        <v>65344.9</v>
      </c>
      <c r="H13" s="64">
        <f>H21+H27+H31</f>
        <v>61797</v>
      </c>
      <c r="I13" s="60">
        <f t="shared" si="0"/>
        <v>1.0574121721119147</v>
      </c>
      <c r="J13" s="60"/>
    </row>
    <row r="14" spans="1:14" x14ac:dyDescent="0.25">
      <c r="A14" s="62"/>
      <c r="B14" s="62" t="s">
        <v>24</v>
      </c>
      <c r="C14" s="63" t="s">
        <v>21</v>
      </c>
      <c r="D14" s="123"/>
      <c r="E14" s="64">
        <f>E23+E28+E32</f>
        <v>61333</v>
      </c>
      <c r="F14" s="64">
        <f>F23+F28+F32</f>
        <v>33733.15</v>
      </c>
      <c r="G14" s="64">
        <f>G23+G28+G32</f>
        <v>95066.15</v>
      </c>
      <c r="H14" s="64">
        <f>H23+H28+H32</f>
        <v>89705</v>
      </c>
      <c r="I14" s="60">
        <f t="shared" si="0"/>
        <v>1.0597642271891199</v>
      </c>
      <c r="J14" s="60"/>
    </row>
    <row r="15" spans="1:14" x14ac:dyDescent="0.25">
      <c r="A15" s="62"/>
      <c r="B15" s="62" t="s">
        <v>43</v>
      </c>
      <c r="C15" s="63" t="s">
        <v>21</v>
      </c>
      <c r="D15" s="123"/>
      <c r="E15" s="64">
        <v>513</v>
      </c>
      <c r="F15" s="64">
        <f>E15/2*1.1</f>
        <v>282.15000000000003</v>
      </c>
      <c r="G15" s="64">
        <f>E15+F15</f>
        <v>795.15000000000009</v>
      </c>
      <c r="H15" s="64">
        <v>651</v>
      </c>
      <c r="I15" s="60"/>
      <c r="J15" s="60"/>
    </row>
    <row r="16" spans="1:14" x14ac:dyDescent="0.25">
      <c r="A16" s="62"/>
      <c r="B16" s="62" t="s">
        <v>26</v>
      </c>
      <c r="C16" s="63"/>
      <c r="D16" s="128" t="s">
        <v>52</v>
      </c>
      <c r="E16" s="64"/>
      <c r="F16" s="64"/>
      <c r="G16" s="64"/>
      <c r="H16" s="64"/>
      <c r="I16" s="60"/>
      <c r="J16" s="60"/>
    </row>
    <row r="17" spans="1:14" s="70" customFormat="1" x14ac:dyDescent="0.25">
      <c r="A17" s="66">
        <v>1</v>
      </c>
      <c r="B17" s="66" t="s">
        <v>27</v>
      </c>
      <c r="C17" s="67" t="s">
        <v>21</v>
      </c>
      <c r="D17" s="123">
        <v>314571</v>
      </c>
      <c r="E17" s="68">
        <f>E19+E21+E23</f>
        <v>45324</v>
      </c>
      <c r="F17" s="68">
        <f t="shared" ref="E17:H18" si="1">F19+F21+F23</f>
        <v>24928.2</v>
      </c>
      <c r="G17" s="68">
        <f t="shared" si="1"/>
        <v>70252.2</v>
      </c>
      <c r="H17" s="68">
        <f t="shared" si="1"/>
        <v>66397</v>
      </c>
      <c r="I17" s="60">
        <f>G17/H17</f>
        <v>1.058062864286037</v>
      </c>
      <c r="J17" s="73"/>
      <c r="N17" s="48"/>
    </row>
    <row r="18" spans="1:14" ht="15.75" customHeight="1" x14ac:dyDescent="0.25">
      <c r="A18" s="66"/>
      <c r="B18" s="66"/>
      <c r="C18" s="67" t="s">
        <v>28</v>
      </c>
      <c r="D18" s="123">
        <v>32020</v>
      </c>
      <c r="E18" s="68">
        <f t="shared" si="1"/>
        <v>4809</v>
      </c>
      <c r="F18" s="68">
        <f t="shared" si="1"/>
        <v>2644.9500000000003</v>
      </c>
      <c r="G18" s="68">
        <f t="shared" si="1"/>
        <v>7453.95</v>
      </c>
      <c r="H18" s="68">
        <f t="shared" si="1"/>
        <v>6727</v>
      </c>
      <c r="I18" s="60">
        <f>G18/H18</f>
        <v>1.1080645161290323</v>
      </c>
      <c r="J18" s="60">
        <f>G18/D18</f>
        <v>0.23279044347282948</v>
      </c>
      <c r="K18" s="48"/>
    </row>
    <row r="19" spans="1:14" ht="15.75" customHeight="1" x14ac:dyDescent="0.25">
      <c r="A19" s="62"/>
      <c r="B19" s="62" t="s">
        <v>29</v>
      </c>
      <c r="C19" s="63" t="s">
        <v>30</v>
      </c>
      <c r="D19" s="123"/>
      <c r="E19" s="72">
        <v>14963</v>
      </c>
      <c r="F19" s="72">
        <f t="shared" ref="F19:F24" si="2">E19/2*1.1</f>
        <v>8229.6500000000015</v>
      </c>
      <c r="G19" s="64">
        <f t="shared" ref="G19:G24" si="3">F19+E19</f>
        <v>23192.65</v>
      </c>
      <c r="H19" s="72">
        <v>23030</v>
      </c>
      <c r="I19" s="60"/>
      <c r="J19" s="60"/>
    </row>
    <row r="20" spans="1:14" ht="15.75" customHeight="1" x14ac:dyDescent="0.25">
      <c r="A20" s="62"/>
      <c r="B20" s="62"/>
      <c r="C20" s="63" t="s">
        <v>28</v>
      </c>
      <c r="D20" s="123"/>
      <c r="E20" s="72">
        <v>1487</v>
      </c>
      <c r="F20" s="72">
        <f t="shared" si="2"/>
        <v>817.85</v>
      </c>
      <c r="G20" s="64">
        <f t="shared" si="3"/>
        <v>2304.85</v>
      </c>
      <c r="H20" s="72">
        <v>2118</v>
      </c>
      <c r="I20" s="60"/>
      <c r="J20" s="60"/>
    </row>
    <row r="21" spans="1:14" x14ac:dyDescent="0.25">
      <c r="A21" s="62"/>
      <c r="B21" s="62" t="s">
        <v>31</v>
      </c>
      <c r="C21" s="63" t="s">
        <v>30</v>
      </c>
      <c r="D21" s="123"/>
      <c r="E21" s="72">
        <v>15117</v>
      </c>
      <c r="F21" s="72">
        <f t="shared" si="2"/>
        <v>8314.35</v>
      </c>
      <c r="G21" s="64">
        <f t="shared" si="3"/>
        <v>23431.35</v>
      </c>
      <c r="H21" s="72">
        <v>21861</v>
      </c>
      <c r="I21" s="60"/>
      <c r="J21" s="60"/>
      <c r="K21" s="61"/>
      <c r="L21" s="61"/>
      <c r="M21" s="61"/>
      <c r="N21" s="57"/>
    </row>
    <row r="22" spans="1:14" x14ac:dyDescent="0.25">
      <c r="A22" s="62"/>
      <c r="B22" s="62"/>
      <c r="C22" s="63" t="s">
        <v>28</v>
      </c>
      <c r="D22" s="123"/>
      <c r="E22" s="72">
        <v>1591</v>
      </c>
      <c r="F22" s="72">
        <f t="shared" si="2"/>
        <v>875.05000000000007</v>
      </c>
      <c r="G22" s="64">
        <f t="shared" si="3"/>
        <v>2466.0500000000002</v>
      </c>
      <c r="H22" s="72">
        <v>2139</v>
      </c>
      <c r="I22" s="60"/>
      <c r="J22" s="60"/>
    </row>
    <row r="23" spans="1:14" x14ac:dyDescent="0.25">
      <c r="A23" s="62"/>
      <c r="B23" s="62" t="s">
        <v>32</v>
      </c>
      <c r="C23" s="63" t="s">
        <v>30</v>
      </c>
      <c r="D23" s="123"/>
      <c r="E23" s="72">
        <v>15244</v>
      </c>
      <c r="F23" s="72">
        <f t="shared" si="2"/>
        <v>8384.2000000000007</v>
      </c>
      <c r="G23" s="64">
        <f t="shared" si="3"/>
        <v>23628.2</v>
      </c>
      <c r="H23" s="72">
        <v>21506</v>
      </c>
      <c r="I23" s="60"/>
      <c r="J23" s="60"/>
    </row>
    <row r="24" spans="1:14" x14ac:dyDescent="0.25">
      <c r="A24" s="62"/>
      <c r="B24" s="62"/>
      <c r="C24" s="63" t="s">
        <v>28</v>
      </c>
      <c r="D24" s="123"/>
      <c r="E24" s="72">
        <v>1731</v>
      </c>
      <c r="F24" s="72">
        <f t="shared" si="2"/>
        <v>952.05000000000007</v>
      </c>
      <c r="G24" s="64">
        <f t="shared" si="3"/>
        <v>2683.05</v>
      </c>
      <c r="H24" s="72">
        <v>2470</v>
      </c>
      <c r="I24" s="60"/>
      <c r="J24" s="60"/>
    </row>
    <row r="25" spans="1:14" s="70" customFormat="1" x14ac:dyDescent="0.25">
      <c r="A25" s="66">
        <v>2</v>
      </c>
      <c r="B25" s="66" t="s">
        <v>33</v>
      </c>
      <c r="C25" s="67" t="s">
        <v>21</v>
      </c>
      <c r="D25" s="123">
        <v>88897</v>
      </c>
      <c r="E25" s="68">
        <f>E26+E27+E28</f>
        <v>13717</v>
      </c>
      <c r="F25" s="68">
        <f>F26+F27+F28</f>
        <v>7544.35</v>
      </c>
      <c r="G25" s="68">
        <f>G26+G27+G28</f>
        <v>21261.35</v>
      </c>
      <c r="H25" s="68">
        <f>H26+H27+H28</f>
        <v>20984</v>
      </c>
      <c r="I25" s="60">
        <f>G25/H25</f>
        <v>1.0132172131147541</v>
      </c>
      <c r="J25" s="73">
        <f>G25/D25</f>
        <v>0.23916836338684094</v>
      </c>
      <c r="N25" s="71"/>
    </row>
    <row r="26" spans="1:14" x14ac:dyDescent="0.25">
      <c r="A26" s="62"/>
      <c r="B26" s="62" t="s">
        <v>29</v>
      </c>
      <c r="C26" s="63" t="s">
        <v>21</v>
      </c>
      <c r="D26" s="123"/>
      <c r="E26" s="72">
        <v>572</v>
      </c>
      <c r="F26" s="72">
        <f>E26/2*1.1</f>
        <v>314.60000000000002</v>
      </c>
      <c r="G26" s="64">
        <f>E26+F26</f>
        <v>886.6</v>
      </c>
      <c r="H26" s="72">
        <v>1326</v>
      </c>
      <c r="I26" s="60"/>
      <c r="J26" s="60"/>
    </row>
    <row r="27" spans="1:14" x14ac:dyDescent="0.25">
      <c r="A27" s="62"/>
      <c r="B27" s="62" t="s">
        <v>34</v>
      </c>
      <c r="C27" s="63" t="s">
        <v>21</v>
      </c>
      <c r="D27" s="123"/>
      <c r="E27" s="72">
        <v>5440</v>
      </c>
      <c r="F27" s="72">
        <f>E27/2*1.1</f>
        <v>2992.0000000000005</v>
      </c>
      <c r="G27" s="64">
        <f>E27+F27</f>
        <v>8432</v>
      </c>
      <c r="H27" s="72">
        <v>8187</v>
      </c>
      <c r="I27" s="60"/>
      <c r="J27" s="60"/>
    </row>
    <row r="28" spans="1:14" ht="15.75" customHeight="1" x14ac:dyDescent="0.25">
      <c r="A28" s="62"/>
      <c r="B28" s="62" t="s">
        <v>32</v>
      </c>
      <c r="C28" s="63" t="s">
        <v>21</v>
      </c>
      <c r="D28" s="123"/>
      <c r="E28" s="72">
        <v>7705</v>
      </c>
      <c r="F28" s="72">
        <f>E28/2*1.1</f>
        <v>4237.75</v>
      </c>
      <c r="G28" s="64">
        <f>E28+F28</f>
        <v>11942.75</v>
      </c>
      <c r="H28" s="72">
        <v>11471</v>
      </c>
      <c r="I28" s="60"/>
      <c r="J28" s="60"/>
    </row>
    <row r="29" spans="1:14" s="70" customFormat="1" x14ac:dyDescent="0.25">
      <c r="A29" s="66">
        <v>3</v>
      </c>
      <c r="B29" s="66" t="s">
        <v>35</v>
      </c>
      <c r="C29" s="67" t="s">
        <v>21</v>
      </c>
      <c r="D29" s="123">
        <v>517053</v>
      </c>
      <c r="E29" s="68">
        <f>E30+E31+E32</f>
        <v>75826</v>
      </c>
      <c r="F29" s="68">
        <f>F30+F31+F32</f>
        <v>41704.300000000003</v>
      </c>
      <c r="G29" s="68">
        <f>G30+G31+G32</f>
        <v>117530.3</v>
      </c>
      <c r="H29" s="68">
        <f>H30+H31+H32</f>
        <v>113367</v>
      </c>
      <c r="I29" s="60">
        <f>G29/H29</f>
        <v>1.0367240907847963</v>
      </c>
      <c r="J29" s="73">
        <f>G29/D29</f>
        <v>0.22730803225201285</v>
      </c>
      <c r="N29" s="71"/>
    </row>
    <row r="30" spans="1:14" x14ac:dyDescent="0.25">
      <c r="A30" s="62"/>
      <c r="B30" s="62" t="s">
        <v>29</v>
      </c>
      <c r="C30" s="63" t="s">
        <v>21</v>
      </c>
      <c r="D30" s="123"/>
      <c r="E30" s="72">
        <v>15841</v>
      </c>
      <c r="F30" s="72">
        <f>E30/2*1.1</f>
        <v>8712.5500000000011</v>
      </c>
      <c r="G30" s="64">
        <f>F30+E30</f>
        <v>24553.550000000003</v>
      </c>
      <c r="H30" s="72">
        <v>24890</v>
      </c>
      <c r="I30" s="60"/>
      <c r="J30" s="60"/>
    </row>
    <row r="31" spans="1:14" x14ac:dyDescent="0.25">
      <c r="A31" s="62"/>
      <c r="B31" s="62" t="s">
        <v>34</v>
      </c>
      <c r="C31" s="63" t="s">
        <v>21</v>
      </c>
      <c r="D31" s="123"/>
      <c r="E31" s="72">
        <v>21601</v>
      </c>
      <c r="F31" s="72">
        <f>E31/2*1.1</f>
        <v>11880.550000000001</v>
      </c>
      <c r="G31" s="64">
        <f>F31+E31</f>
        <v>33481.550000000003</v>
      </c>
      <c r="H31" s="72">
        <v>31749</v>
      </c>
      <c r="I31" s="60"/>
      <c r="J31" s="60"/>
    </row>
    <row r="32" spans="1:14" ht="15.75" customHeight="1" x14ac:dyDescent="0.25">
      <c r="A32" s="62"/>
      <c r="B32" s="62" t="s">
        <v>32</v>
      </c>
      <c r="C32" s="63" t="s">
        <v>21</v>
      </c>
      <c r="D32" s="123"/>
      <c r="E32" s="72">
        <v>38384</v>
      </c>
      <c r="F32" s="72">
        <f>E32/2*1.1</f>
        <v>21111.200000000001</v>
      </c>
      <c r="G32" s="64">
        <f>F32+E32</f>
        <v>59495.199999999997</v>
      </c>
      <c r="H32" s="72">
        <v>56728</v>
      </c>
      <c r="I32" s="60"/>
      <c r="J32" s="60"/>
    </row>
    <row r="33" spans="1:14" s="70" customFormat="1" x14ac:dyDescent="0.25">
      <c r="A33" s="66">
        <v>4</v>
      </c>
      <c r="B33" s="66" t="s">
        <v>43</v>
      </c>
      <c r="C33" s="67" t="s">
        <v>21</v>
      </c>
      <c r="D33" s="123">
        <v>89834</v>
      </c>
      <c r="E33" s="71">
        <v>13548</v>
      </c>
      <c r="F33" s="92">
        <f>E33/2*1.1</f>
        <v>7451.4000000000005</v>
      </c>
      <c r="G33" s="68">
        <f>F33+E33</f>
        <v>20999.4</v>
      </c>
      <c r="H33" s="71">
        <v>22843</v>
      </c>
      <c r="I33" s="60">
        <f>G33/H33</f>
        <v>0.91929256227290645</v>
      </c>
      <c r="J33" s="73">
        <f>G33/D33</f>
        <v>0.23375781997907252</v>
      </c>
      <c r="N33" s="71"/>
    </row>
    <row r="34" spans="1:14" x14ac:dyDescent="0.25">
      <c r="A34" s="62"/>
      <c r="B34" s="62"/>
      <c r="C34" s="63"/>
      <c r="D34" s="64"/>
      <c r="E34" s="62"/>
      <c r="F34" s="62"/>
      <c r="G34" s="62"/>
      <c r="H34" s="64"/>
      <c r="I34" s="75"/>
      <c r="J34" s="75"/>
    </row>
    <row r="35" spans="1:14" x14ac:dyDescent="0.25">
      <c r="A35" s="76"/>
      <c r="B35" s="76"/>
      <c r="C35" s="77"/>
      <c r="D35" s="78"/>
      <c r="E35" s="76"/>
      <c r="F35" s="76"/>
      <c r="G35" s="76"/>
      <c r="H35" s="78"/>
      <c r="I35" s="76"/>
      <c r="J35" s="76"/>
    </row>
    <row r="36" spans="1:14" ht="32.25" customHeight="1" x14ac:dyDescent="0.25">
      <c r="A36" s="247" t="s">
        <v>44</v>
      </c>
      <c r="B36" s="247"/>
      <c r="C36" s="247"/>
      <c r="D36" s="247"/>
      <c r="E36" s="247"/>
      <c r="F36" s="247"/>
      <c r="G36" s="247"/>
      <c r="H36" s="247"/>
      <c r="I36" s="247"/>
      <c r="J36" s="247"/>
    </row>
    <row r="37" spans="1:14" ht="16.5" customHeight="1" x14ac:dyDescent="0.25">
      <c r="A37" s="79"/>
      <c r="B37" s="79"/>
      <c r="C37" s="77"/>
      <c r="D37" s="78"/>
      <c r="E37" s="76"/>
      <c r="F37" s="76"/>
      <c r="G37" s="76"/>
      <c r="H37" s="78"/>
      <c r="I37" s="76"/>
      <c r="J37" s="76"/>
    </row>
    <row r="38" spans="1:14" ht="15.75" x14ac:dyDescent="0.25">
      <c r="A38" s="79"/>
      <c r="B38" s="79"/>
      <c r="C38" s="77"/>
      <c r="D38" s="78"/>
      <c r="E38" s="76"/>
      <c r="F38" s="76"/>
      <c r="G38" s="76"/>
      <c r="H38" s="78"/>
      <c r="I38" s="76"/>
      <c r="J38" s="76"/>
    </row>
    <row r="39" spans="1:14" ht="15.75" x14ac:dyDescent="0.25">
      <c r="A39" s="79"/>
      <c r="B39" s="79"/>
      <c r="C39" s="77"/>
      <c r="D39" s="78"/>
      <c r="E39" s="76"/>
      <c r="F39" s="76"/>
      <c r="G39" s="76"/>
      <c r="H39" s="78"/>
      <c r="I39" s="76"/>
      <c r="J39" s="76"/>
    </row>
    <row r="40" spans="1:14" ht="15.75" x14ac:dyDescent="0.25">
      <c r="A40" s="79"/>
      <c r="B40" s="79"/>
      <c r="C40" s="77"/>
      <c r="D40" s="78"/>
      <c r="E40" s="76"/>
      <c r="F40" s="76"/>
      <c r="G40" s="76"/>
      <c r="H40" s="78"/>
      <c r="I40" s="76"/>
      <c r="J40" s="76"/>
    </row>
    <row r="41" spans="1:14" ht="15.75" x14ac:dyDescent="0.25">
      <c r="A41" s="79"/>
      <c r="B41" s="79"/>
      <c r="C41" s="77"/>
      <c r="D41" s="78"/>
      <c r="E41" s="76"/>
      <c r="F41" s="76"/>
      <c r="G41" s="76"/>
      <c r="H41" s="78"/>
      <c r="I41" s="76"/>
      <c r="J41" s="76"/>
    </row>
    <row r="42" spans="1:14" ht="15.75" x14ac:dyDescent="0.25">
      <c r="A42" s="246"/>
      <c r="B42" s="246"/>
      <c r="C42" s="77"/>
      <c r="D42" s="78"/>
      <c r="E42" s="76"/>
      <c r="F42" s="76"/>
      <c r="G42" s="76"/>
      <c r="H42" s="78"/>
      <c r="I42" s="76"/>
      <c r="J42" s="76"/>
    </row>
    <row r="43" spans="1:14" ht="15.75" x14ac:dyDescent="0.25">
      <c r="A43" s="241"/>
      <c r="B43" s="241"/>
      <c r="C43" s="77"/>
      <c r="D43" s="78"/>
      <c r="E43" s="76"/>
      <c r="F43" s="76"/>
      <c r="G43" s="76"/>
      <c r="H43" s="78"/>
      <c r="I43" s="76"/>
      <c r="J43" s="76"/>
    </row>
    <row r="44" spans="1:14" x14ac:dyDescent="0.25">
      <c r="A44" s="76"/>
      <c r="B44" s="76"/>
      <c r="C44" s="77"/>
      <c r="D44" s="78"/>
      <c r="E44" s="76"/>
      <c r="F44" s="76"/>
      <c r="G44" s="76"/>
      <c r="H44" s="78"/>
      <c r="I44" s="76"/>
      <c r="J44" s="76"/>
    </row>
    <row r="45" spans="1:14" x14ac:dyDescent="0.25">
      <c r="A45" s="76"/>
      <c r="B45" s="76"/>
      <c r="C45" s="77"/>
      <c r="D45" s="78"/>
      <c r="E45" s="76"/>
      <c r="F45" s="76"/>
      <c r="G45" s="76"/>
      <c r="H45" s="78"/>
      <c r="I45" s="76"/>
      <c r="J45" s="76"/>
    </row>
    <row r="46" spans="1:14" x14ac:dyDescent="0.25">
      <c r="A46" s="76"/>
      <c r="B46" s="76"/>
      <c r="C46" s="77"/>
      <c r="D46" s="78"/>
      <c r="E46" s="76"/>
      <c r="F46" s="76"/>
      <c r="G46" s="76"/>
      <c r="H46" s="78"/>
      <c r="I46" s="76"/>
      <c r="J46" s="76"/>
    </row>
    <row r="47" spans="1:14" x14ac:dyDescent="0.25">
      <c r="A47" s="76"/>
      <c r="B47" s="76"/>
      <c r="C47" s="77"/>
      <c r="D47" s="78"/>
      <c r="E47" s="76"/>
      <c r="F47" s="76"/>
      <c r="G47" s="76"/>
      <c r="H47" s="78"/>
      <c r="I47" s="76"/>
      <c r="J47" s="76"/>
    </row>
    <row r="48" spans="1:14"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sheetData>
  <mergeCells count="12">
    <mergeCell ref="A43:B43"/>
    <mergeCell ref="A1:J1"/>
    <mergeCell ref="A6:J6"/>
    <mergeCell ref="A8:A9"/>
    <mergeCell ref="B8:B9"/>
    <mergeCell ref="C8:C9"/>
    <mergeCell ref="D8:D9"/>
    <mergeCell ref="E8:J8"/>
    <mergeCell ref="A42:B42"/>
    <mergeCell ref="A5:J5"/>
    <mergeCell ref="A36:J36"/>
    <mergeCell ref="G2:J2"/>
  </mergeCells>
  <phoneticPr fontId="12" type="noConversion"/>
  <pageMargins left="0.5" right="0.25" top="0.5" bottom="0.5"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56"/>
  <sheetViews>
    <sheetView topLeftCell="A11" zoomScale="80" zoomScaleNormal="80" workbookViewId="0">
      <selection activeCell="E12" sqref="E12:E34"/>
    </sheetView>
  </sheetViews>
  <sheetFormatPr defaultRowHeight="15" x14ac:dyDescent="0.25"/>
  <cols>
    <col min="1" max="1" width="4.28515625" customWidth="1"/>
    <col min="2" max="2" width="16.140625" customWidth="1"/>
    <col min="3" max="3" width="10.28515625" style="34" bestFit="1" customWidth="1"/>
    <col min="4" max="4" width="10.140625" style="4" bestFit="1" customWidth="1"/>
    <col min="5" max="7" width="10.28515625" customWidth="1"/>
    <col min="8" max="8" width="10.28515625" style="4" customWidth="1"/>
    <col min="9" max="10" width="10.28515625" customWidth="1"/>
    <col min="11" max="11" width="9.140625" customWidth="1"/>
  </cols>
  <sheetData>
    <row r="1" spans="1:10" ht="18.75" x14ac:dyDescent="0.3">
      <c r="A1" s="234" t="s">
        <v>39</v>
      </c>
      <c r="B1" s="234"/>
      <c r="C1" s="234"/>
      <c r="D1" s="234"/>
      <c r="E1" s="234"/>
      <c r="F1" s="234"/>
      <c r="G1" s="234"/>
      <c r="H1" s="234"/>
      <c r="I1" s="234"/>
      <c r="J1" s="234"/>
    </row>
    <row r="2" spans="1:10" x14ac:dyDescent="0.25">
      <c r="A2" s="1" t="s">
        <v>0</v>
      </c>
      <c r="B2" s="1"/>
      <c r="C2" s="2"/>
      <c r="D2" s="3"/>
      <c r="E2" s="1"/>
      <c r="F2" s="249" t="s">
        <v>69</v>
      </c>
      <c r="G2" s="249"/>
      <c r="H2" s="249"/>
      <c r="I2" s="249"/>
      <c r="J2" s="249"/>
    </row>
    <row r="3" spans="1:10" x14ac:dyDescent="0.25">
      <c r="A3" s="35" t="s">
        <v>67</v>
      </c>
      <c r="B3" s="1"/>
      <c r="C3" s="2"/>
      <c r="D3" s="3"/>
      <c r="E3" s="1"/>
      <c r="F3" s="249" t="s">
        <v>70</v>
      </c>
      <c r="G3" s="249"/>
      <c r="H3" s="249"/>
      <c r="I3" s="249"/>
      <c r="J3" s="249"/>
    </row>
    <row r="4" spans="1:10" x14ac:dyDescent="0.25">
      <c r="A4" s="1"/>
      <c r="B4" s="1"/>
      <c r="C4" s="2"/>
      <c r="D4" s="3"/>
      <c r="E4" s="1"/>
      <c r="F4" s="1"/>
      <c r="G4" s="1"/>
      <c r="H4" s="3"/>
      <c r="I4" s="1"/>
      <c r="J4" s="1"/>
    </row>
    <row r="6" spans="1:10" ht="16.5" x14ac:dyDescent="0.25">
      <c r="A6" s="237" t="s">
        <v>66</v>
      </c>
      <c r="B6" s="237"/>
      <c r="C6" s="237"/>
      <c r="D6" s="237"/>
      <c r="E6" s="237"/>
      <c r="F6" s="237"/>
      <c r="G6" s="237"/>
      <c r="H6" s="237"/>
      <c r="I6" s="237"/>
      <c r="J6" s="237"/>
    </row>
    <row r="7" spans="1:10" ht="24.75" customHeight="1" x14ac:dyDescent="0.25">
      <c r="A7" s="237" t="s">
        <v>68</v>
      </c>
      <c r="B7" s="237"/>
      <c r="C7" s="237"/>
      <c r="D7" s="237"/>
      <c r="E7" s="237"/>
      <c r="F7" s="237"/>
      <c r="G7" s="237"/>
      <c r="H7" s="237"/>
      <c r="I7" s="237"/>
      <c r="J7" s="237"/>
    </row>
    <row r="9" spans="1:10" x14ac:dyDescent="0.25">
      <c r="A9" s="238" t="s">
        <v>4</v>
      </c>
      <c r="B9" s="238" t="s">
        <v>5</v>
      </c>
      <c r="C9" s="238" t="s">
        <v>6</v>
      </c>
      <c r="D9" s="239" t="s">
        <v>7</v>
      </c>
      <c r="E9" s="238" t="s">
        <v>8</v>
      </c>
      <c r="F9" s="238"/>
      <c r="G9" s="238"/>
      <c r="H9" s="238"/>
      <c r="I9" s="238"/>
      <c r="J9" s="238"/>
    </row>
    <row r="10" spans="1:10" ht="71.25" x14ac:dyDescent="0.25">
      <c r="A10" s="238"/>
      <c r="B10" s="238"/>
      <c r="C10" s="238"/>
      <c r="D10" s="239"/>
      <c r="E10" s="7" t="s">
        <v>9</v>
      </c>
      <c r="F10" s="7" t="s">
        <v>10</v>
      </c>
      <c r="G10" s="7" t="s">
        <v>11</v>
      </c>
      <c r="H10" s="8" t="s">
        <v>12</v>
      </c>
      <c r="I10" s="7" t="s">
        <v>13</v>
      </c>
      <c r="J10" s="7" t="s">
        <v>14</v>
      </c>
    </row>
    <row r="11" spans="1:10" x14ac:dyDescent="0.25">
      <c r="A11" s="7" t="s">
        <v>15</v>
      </c>
      <c r="B11" s="7" t="s">
        <v>16</v>
      </c>
      <c r="C11" s="7" t="s">
        <v>17</v>
      </c>
      <c r="D11" s="8">
        <v>1</v>
      </c>
      <c r="E11" s="7">
        <v>2</v>
      </c>
      <c r="F11" s="7">
        <v>3</v>
      </c>
      <c r="G11" s="7">
        <v>4</v>
      </c>
      <c r="H11" s="8">
        <v>5</v>
      </c>
      <c r="I11" s="7" t="s">
        <v>18</v>
      </c>
      <c r="J11" s="7" t="s">
        <v>19</v>
      </c>
    </row>
    <row r="12" spans="1:10" s="13" customFormat="1" x14ac:dyDescent="0.25">
      <c r="A12" s="9"/>
      <c r="B12" s="9" t="s">
        <v>20</v>
      </c>
      <c r="C12" s="10" t="s">
        <v>21</v>
      </c>
      <c r="D12" s="123">
        <v>1064879</v>
      </c>
      <c r="E12" s="11">
        <f>E13+E14+E15+E16</f>
        <v>257889</v>
      </c>
      <c r="F12" s="11">
        <f>F13+F14+F15+F16</f>
        <v>84317.96666666666</v>
      </c>
      <c r="G12" s="11">
        <f>G13+G14+G15+G16</f>
        <v>342206.96666666667</v>
      </c>
      <c r="H12" s="59">
        <f>H13+H14+H15+H16</f>
        <v>322313</v>
      </c>
      <c r="I12" s="12">
        <f>G12/H12</f>
        <v>1.0617225078314143</v>
      </c>
      <c r="J12" s="12">
        <f>G12/D12</f>
        <v>0.32135760651366652</v>
      </c>
    </row>
    <row r="13" spans="1:10" x14ac:dyDescent="0.25">
      <c r="A13" s="15"/>
      <c r="B13" s="15" t="s">
        <v>22</v>
      </c>
      <c r="C13" s="16" t="s">
        <v>21</v>
      </c>
      <c r="D13" s="123"/>
      <c r="E13" s="17">
        <f>E20+E27+E31</f>
        <v>52400</v>
      </c>
      <c r="F13" s="17">
        <f>F20+F27+F31</f>
        <v>17466.666666666668</v>
      </c>
      <c r="G13" s="17">
        <f>G20+G27+G31</f>
        <v>69866.666666666672</v>
      </c>
      <c r="H13" s="64">
        <f>H20+H27+H31</f>
        <v>68272</v>
      </c>
      <c r="I13" s="12">
        <f t="shared" ref="I13:I19" si="0">G13/H13</f>
        <v>1.0233575501913914</v>
      </c>
      <c r="J13" s="12"/>
    </row>
    <row r="14" spans="1:10" x14ac:dyDescent="0.25">
      <c r="A14" s="15"/>
      <c r="B14" s="15" t="s">
        <v>23</v>
      </c>
      <c r="C14" s="16" t="s">
        <v>21</v>
      </c>
      <c r="D14" s="123"/>
      <c r="E14" s="17">
        <f>E22+E28+E32</f>
        <v>68910</v>
      </c>
      <c r="F14" s="17">
        <f>F22+F28+F32</f>
        <v>22970</v>
      </c>
      <c r="G14" s="17">
        <f>G22+G28+G32</f>
        <v>91880</v>
      </c>
      <c r="H14" s="64">
        <f>H22+H28+H32</f>
        <v>87020</v>
      </c>
      <c r="I14" s="12">
        <f t="shared" si="0"/>
        <v>1.0558492300620548</v>
      </c>
      <c r="J14" s="12"/>
    </row>
    <row r="15" spans="1:10" x14ac:dyDescent="0.25">
      <c r="A15" s="15"/>
      <c r="B15" s="15" t="s">
        <v>24</v>
      </c>
      <c r="C15" s="16" t="s">
        <v>21</v>
      </c>
      <c r="D15" s="123"/>
      <c r="E15" s="17">
        <f>E24+E29+E33</f>
        <v>135537</v>
      </c>
      <c r="F15" s="17">
        <f>F24+F29+F33</f>
        <v>43533.96666666666</v>
      </c>
      <c r="G15" s="17">
        <f>G24+G29+G33</f>
        <v>179070.96666666667</v>
      </c>
      <c r="H15" s="64">
        <f>H24+H29+H33</f>
        <v>165796</v>
      </c>
      <c r="I15" s="12">
        <f t="shared" si="0"/>
        <v>1.080068075627076</v>
      </c>
      <c r="J15" s="12"/>
    </row>
    <row r="16" spans="1:10" x14ac:dyDescent="0.25">
      <c r="A16" s="15"/>
      <c r="B16" s="42" t="s">
        <v>43</v>
      </c>
      <c r="C16" s="16" t="s">
        <v>21</v>
      </c>
      <c r="D16" s="123"/>
      <c r="E16" s="17">
        <v>1042</v>
      </c>
      <c r="F16" s="17">
        <f>E16/3</f>
        <v>347.33333333333331</v>
      </c>
      <c r="G16" s="17">
        <f>E16+F16</f>
        <v>1389.3333333333333</v>
      </c>
      <c r="H16" s="64">
        <v>1225</v>
      </c>
      <c r="I16" s="12"/>
      <c r="J16" s="12"/>
    </row>
    <row r="17" spans="1:10" x14ac:dyDescent="0.25">
      <c r="A17" s="15"/>
      <c r="B17" s="15" t="s">
        <v>26</v>
      </c>
      <c r="C17" s="16"/>
      <c r="D17" s="128" t="s">
        <v>52</v>
      </c>
      <c r="E17" s="17"/>
      <c r="F17" s="17"/>
      <c r="G17" s="17"/>
      <c r="H17" s="64"/>
      <c r="I17" s="12"/>
      <c r="J17" s="12"/>
    </row>
    <row r="18" spans="1:10" s="24" customFormat="1" x14ac:dyDescent="0.25">
      <c r="A18" s="20">
        <v>1</v>
      </c>
      <c r="B18" s="20" t="s">
        <v>27</v>
      </c>
      <c r="C18" s="21" t="s">
        <v>21</v>
      </c>
      <c r="D18" s="123">
        <v>317261</v>
      </c>
      <c r="E18" s="22">
        <f>E20+E22+E24</f>
        <v>73638</v>
      </c>
      <c r="F18" s="22">
        <f t="shared" ref="E18:H19" si="1">F20+F22+F24</f>
        <v>24546</v>
      </c>
      <c r="G18" s="22">
        <f t="shared" si="1"/>
        <v>98184</v>
      </c>
      <c r="H18" s="68">
        <f>H20+H22+H24</f>
        <v>92734</v>
      </c>
      <c r="I18" s="12">
        <f t="shared" si="0"/>
        <v>1.0587702460801864</v>
      </c>
      <c r="J18" s="12"/>
    </row>
    <row r="19" spans="1:10" ht="15.75" customHeight="1" x14ac:dyDescent="0.25">
      <c r="A19" s="20"/>
      <c r="B19" s="20"/>
      <c r="C19" s="21" t="s">
        <v>28</v>
      </c>
      <c r="D19" s="123">
        <v>32555</v>
      </c>
      <c r="E19" s="22">
        <f t="shared" si="1"/>
        <v>7542</v>
      </c>
      <c r="F19" s="22">
        <f t="shared" si="1"/>
        <v>2514</v>
      </c>
      <c r="G19" s="22">
        <f t="shared" si="1"/>
        <v>10056</v>
      </c>
      <c r="H19" s="68">
        <f t="shared" si="1"/>
        <v>9452</v>
      </c>
      <c r="I19" s="12">
        <f t="shared" si="0"/>
        <v>1.063901819720694</v>
      </c>
      <c r="J19" s="12">
        <f>G19/D19</f>
        <v>0.30889264321916754</v>
      </c>
    </row>
    <row r="20" spans="1:10" ht="15.75" customHeight="1" x14ac:dyDescent="0.25">
      <c r="A20" s="15"/>
      <c r="B20" s="15" t="s">
        <v>29</v>
      </c>
      <c r="C20" s="16" t="s">
        <v>30</v>
      </c>
      <c r="D20" s="123"/>
      <c r="E20" s="27">
        <v>24476</v>
      </c>
      <c r="F20" s="27">
        <f t="shared" ref="F20:F25" si="2">E20/3</f>
        <v>8158.666666666667</v>
      </c>
      <c r="G20" s="17">
        <f>F20+E20</f>
        <v>32634.666666666668</v>
      </c>
      <c r="H20" s="38">
        <f>31368+52</f>
        <v>31420</v>
      </c>
      <c r="I20" s="12"/>
      <c r="J20" s="12"/>
    </row>
    <row r="21" spans="1:10" ht="15.75" customHeight="1" x14ac:dyDescent="0.25">
      <c r="A21" s="15"/>
      <c r="B21" s="15"/>
      <c r="C21" s="16" t="s">
        <v>28</v>
      </c>
      <c r="D21" s="123"/>
      <c r="E21" s="27">
        <v>2272</v>
      </c>
      <c r="F21" s="27">
        <f t="shared" si="2"/>
        <v>757.33333333333337</v>
      </c>
      <c r="G21" s="17">
        <f t="shared" ref="G21:G33" si="3">F21+E21</f>
        <v>3029.3333333333335</v>
      </c>
      <c r="H21" s="38">
        <f>2926+7</f>
        <v>2933</v>
      </c>
      <c r="I21" s="12"/>
      <c r="J21" s="12"/>
    </row>
    <row r="22" spans="1:10" ht="15.75" x14ac:dyDescent="0.25">
      <c r="A22" s="15"/>
      <c r="B22" s="15" t="s">
        <v>31</v>
      </c>
      <c r="C22" s="16" t="s">
        <v>30</v>
      </c>
      <c r="D22" s="123"/>
      <c r="E22" s="27">
        <v>24447</v>
      </c>
      <c r="F22" s="27">
        <f t="shared" si="2"/>
        <v>8149</v>
      </c>
      <c r="G22" s="17">
        <f t="shared" si="3"/>
        <v>32596</v>
      </c>
      <c r="H22" s="38">
        <f>30292+93</f>
        <v>30385</v>
      </c>
      <c r="I22" s="12"/>
      <c r="J22" s="12"/>
    </row>
    <row r="23" spans="1:10" ht="15.75" x14ac:dyDescent="0.25">
      <c r="A23" s="15"/>
      <c r="B23" s="15"/>
      <c r="C23" s="16" t="s">
        <v>28</v>
      </c>
      <c r="D23" s="123"/>
      <c r="E23" s="27">
        <v>2504</v>
      </c>
      <c r="F23" s="27">
        <f t="shared" si="2"/>
        <v>834.66666666666663</v>
      </c>
      <c r="G23" s="17">
        <f t="shared" si="3"/>
        <v>3338.6666666666665</v>
      </c>
      <c r="H23" s="38">
        <f>2963+8</f>
        <v>2971</v>
      </c>
      <c r="I23" s="12"/>
      <c r="J23" s="12"/>
    </row>
    <row r="24" spans="1:10" ht="15.75" x14ac:dyDescent="0.25">
      <c r="A24" s="15"/>
      <c r="B24" s="15" t="s">
        <v>32</v>
      </c>
      <c r="C24" s="16" t="s">
        <v>30</v>
      </c>
      <c r="D24" s="123"/>
      <c r="E24" s="27">
        <v>24715</v>
      </c>
      <c r="F24" s="27">
        <f t="shared" si="2"/>
        <v>8238.3333333333339</v>
      </c>
      <c r="G24" s="17">
        <f t="shared" si="3"/>
        <v>32953.333333333336</v>
      </c>
      <c r="H24" s="38">
        <f>30061+868</f>
        <v>30929</v>
      </c>
      <c r="I24" s="12"/>
      <c r="J24" s="12"/>
    </row>
    <row r="25" spans="1:10" ht="15.75" x14ac:dyDescent="0.25">
      <c r="A25" s="15"/>
      <c r="B25" s="15"/>
      <c r="C25" s="16" t="s">
        <v>28</v>
      </c>
      <c r="D25" s="123"/>
      <c r="E25" s="27">
        <v>2766</v>
      </c>
      <c r="F25" s="27">
        <f t="shared" si="2"/>
        <v>922</v>
      </c>
      <c r="G25" s="17">
        <f t="shared" si="3"/>
        <v>3688</v>
      </c>
      <c r="H25" s="38">
        <f>3413+135</f>
        <v>3548</v>
      </c>
      <c r="I25" s="12"/>
      <c r="J25" s="12"/>
    </row>
    <row r="26" spans="1:10" s="24" customFormat="1" x14ac:dyDescent="0.25">
      <c r="A26" s="20">
        <v>2</v>
      </c>
      <c r="B26" s="20" t="s">
        <v>33</v>
      </c>
      <c r="C26" s="21" t="s">
        <v>21</v>
      </c>
      <c r="D26" s="123">
        <v>90487</v>
      </c>
      <c r="E26" s="22">
        <f>E27+E28+E29</f>
        <v>21721</v>
      </c>
      <c r="F26" s="22">
        <f>F27+F28+F29</f>
        <v>7240.3333333333339</v>
      </c>
      <c r="G26" s="22">
        <f>G27+G28+G29</f>
        <v>28961.333333333336</v>
      </c>
      <c r="H26" s="68">
        <f>H27+H28+H29</f>
        <v>28124</v>
      </c>
      <c r="I26" s="23">
        <f>G26/H26</f>
        <v>1.0297729104442233</v>
      </c>
      <c r="J26" s="23">
        <f>G26/D26</f>
        <v>0.32006070853640123</v>
      </c>
    </row>
    <row r="27" spans="1:10" ht="15.75" x14ac:dyDescent="0.25">
      <c r="A27" s="15"/>
      <c r="B27" s="15" t="s">
        <v>29</v>
      </c>
      <c r="C27" s="16" t="s">
        <v>21</v>
      </c>
      <c r="D27" s="123"/>
      <c r="E27" s="27">
        <v>978</v>
      </c>
      <c r="F27" s="27">
        <f>E27/3</f>
        <v>326</v>
      </c>
      <c r="G27" s="17">
        <f>E27+F27</f>
        <v>1304</v>
      </c>
      <c r="H27" s="38">
        <v>1761</v>
      </c>
      <c r="I27" s="18"/>
      <c r="J27" s="12"/>
    </row>
    <row r="28" spans="1:10" ht="15.75" x14ac:dyDescent="0.25">
      <c r="A28" s="15"/>
      <c r="B28" s="15" t="s">
        <v>34</v>
      </c>
      <c r="C28" s="16" t="s">
        <v>21</v>
      </c>
      <c r="D28" s="123"/>
      <c r="E28" s="27">
        <v>8623</v>
      </c>
      <c r="F28" s="27">
        <f>E28/3</f>
        <v>2874.3333333333335</v>
      </c>
      <c r="G28" s="17">
        <f>E28+F28</f>
        <v>11497.333333333334</v>
      </c>
      <c r="H28" s="38">
        <f>11115+35</f>
        <v>11150</v>
      </c>
      <c r="I28" s="18"/>
      <c r="J28" s="12"/>
    </row>
    <row r="29" spans="1:10" ht="15.75" customHeight="1" x14ac:dyDescent="0.25">
      <c r="A29" s="15"/>
      <c r="B29" s="15" t="s">
        <v>32</v>
      </c>
      <c r="C29" s="16" t="s">
        <v>21</v>
      </c>
      <c r="D29" s="123"/>
      <c r="E29" s="27">
        <v>12120</v>
      </c>
      <c r="F29" s="27">
        <f>E29/3</f>
        <v>4040</v>
      </c>
      <c r="G29" s="17">
        <f>E29+F29</f>
        <v>16160</v>
      </c>
      <c r="H29" s="38">
        <f>14601+612</f>
        <v>15213</v>
      </c>
      <c r="I29" s="18"/>
      <c r="J29" s="12"/>
    </row>
    <row r="30" spans="1:10" s="24" customFormat="1" x14ac:dyDescent="0.25">
      <c r="A30" s="20">
        <v>3</v>
      </c>
      <c r="B30" s="20" t="s">
        <v>35</v>
      </c>
      <c r="C30" s="21" t="s">
        <v>21</v>
      </c>
      <c r="D30" s="123">
        <v>651947</v>
      </c>
      <c r="E30" s="22">
        <f>E31+E32+E33</f>
        <v>161488</v>
      </c>
      <c r="F30" s="22">
        <f>F31+F32+F33</f>
        <v>52184.299999999988</v>
      </c>
      <c r="G30" s="22">
        <f>G31+G32+G33</f>
        <v>213672.3</v>
      </c>
      <c r="H30" s="68">
        <f>H31+H32+H33</f>
        <v>200230</v>
      </c>
      <c r="I30" s="23">
        <f>G30/H30</f>
        <v>1.0671342955601058</v>
      </c>
      <c r="J30" s="23">
        <f>G30/D30</f>
        <v>0.32774489337323431</v>
      </c>
    </row>
    <row r="31" spans="1:10" ht="15.75" x14ac:dyDescent="0.25">
      <c r="A31" s="15"/>
      <c r="B31" s="15" t="s">
        <v>29</v>
      </c>
      <c r="C31" s="16" t="s">
        <v>21</v>
      </c>
      <c r="D31" s="123"/>
      <c r="E31" s="27">
        <v>26946</v>
      </c>
      <c r="F31" s="27">
        <f>E31/3</f>
        <v>8982</v>
      </c>
      <c r="G31" s="17">
        <f t="shared" si="3"/>
        <v>35928</v>
      </c>
      <c r="H31" s="38">
        <f>33953+1138</f>
        <v>35091</v>
      </c>
      <c r="I31" s="18"/>
      <c r="J31" s="12"/>
    </row>
    <row r="32" spans="1:10" ht="15.75" x14ac:dyDescent="0.25">
      <c r="A32" s="15"/>
      <c r="B32" s="15" t="s">
        <v>34</v>
      </c>
      <c r="C32" s="16" t="s">
        <v>21</v>
      </c>
      <c r="D32" s="123"/>
      <c r="E32" s="27">
        <v>35840</v>
      </c>
      <c r="F32" s="27">
        <f>E32/3</f>
        <v>11946.666666666666</v>
      </c>
      <c r="G32" s="17">
        <f t="shared" si="3"/>
        <v>47786.666666666664</v>
      </c>
      <c r="H32" s="38">
        <f>44091+1394</f>
        <v>45485</v>
      </c>
      <c r="I32" s="18"/>
      <c r="J32" s="12"/>
    </row>
    <row r="33" spans="1:10" ht="15.75" customHeight="1" x14ac:dyDescent="0.25">
      <c r="A33" s="15"/>
      <c r="B33" s="15" t="s">
        <v>32</v>
      </c>
      <c r="C33" s="16" t="s">
        <v>21</v>
      </c>
      <c r="D33" s="123"/>
      <c r="E33" s="27">
        <v>98702</v>
      </c>
      <c r="F33" s="27">
        <f>E33/3*0.95</f>
        <v>31255.633333333328</v>
      </c>
      <c r="G33" s="17">
        <f t="shared" si="3"/>
        <v>129957.63333333333</v>
      </c>
      <c r="H33" s="38">
        <f>78764+40890</f>
        <v>119654</v>
      </c>
      <c r="I33" s="18"/>
      <c r="J33" s="12"/>
    </row>
    <row r="34" spans="1:10" s="24" customFormat="1" ht="15.75" x14ac:dyDescent="0.25">
      <c r="A34" s="20">
        <v>4</v>
      </c>
      <c r="B34" s="20" t="s">
        <v>25</v>
      </c>
      <c r="C34" s="21" t="s">
        <v>21</v>
      </c>
      <c r="D34" s="123">
        <v>89834</v>
      </c>
      <c r="E34" s="26">
        <v>24973</v>
      </c>
      <c r="F34" s="28">
        <f>E34/3</f>
        <v>8324.3333333333339</v>
      </c>
      <c r="G34" s="22">
        <f>F34+E34</f>
        <v>33297.333333333336</v>
      </c>
      <c r="H34" s="37">
        <v>31103</v>
      </c>
      <c r="I34" s="23">
        <f>G34/H34</f>
        <v>1.0705505363898447</v>
      </c>
      <c r="J34" s="23">
        <f>G34/D34</f>
        <v>0.37065402112043699</v>
      </c>
    </row>
    <row r="35" spans="1:10" x14ac:dyDescent="0.25">
      <c r="A35" s="15"/>
      <c r="B35" s="15"/>
      <c r="C35" s="16"/>
      <c r="D35" s="17"/>
      <c r="E35" s="15"/>
      <c r="F35" s="15"/>
      <c r="G35" s="15"/>
      <c r="H35" s="17"/>
      <c r="I35" s="29"/>
      <c r="J35" s="29"/>
    </row>
    <row r="36" spans="1:10" x14ac:dyDescent="0.25">
      <c r="A36" s="30"/>
      <c r="B36" s="30"/>
      <c r="C36" s="31"/>
      <c r="D36" s="32"/>
      <c r="E36" s="30"/>
      <c r="F36" s="30"/>
      <c r="G36" s="30"/>
      <c r="H36" s="32"/>
      <c r="I36" s="30"/>
      <c r="J36" s="30"/>
    </row>
    <row r="37" spans="1:10" ht="16.5" customHeight="1" x14ac:dyDescent="0.25">
      <c r="A37" s="235"/>
      <c r="B37" s="235"/>
      <c r="C37" s="31"/>
      <c r="D37" s="32"/>
      <c r="E37" s="30"/>
      <c r="F37" s="30"/>
      <c r="G37" s="30"/>
      <c r="H37" s="32"/>
      <c r="I37" s="30"/>
      <c r="J37" s="30"/>
    </row>
    <row r="38" spans="1:10" ht="16.5" customHeight="1" x14ac:dyDescent="0.25">
      <c r="A38" s="33"/>
      <c r="B38" s="33"/>
      <c r="C38" s="31"/>
      <c r="D38" s="32"/>
      <c r="E38" s="30"/>
      <c r="F38" s="30"/>
      <c r="G38" s="30"/>
      <c r="H38" s="32"/>
      <c r="I38" s="30"/>
      <c r="J38" s="30"/>
    </row>
    <row r="39" spans="1:10" ht="15.75" x14ac:dyDescent="0.25">
      <c r="A39" s="33"/>
      <c r="B39" s="33"/>
      <c r="C39" s="31"/>
      <c r="D39" s="32"/>
      <c r="E39" s="30"/>
      <c r="F39" s="30"/>
      <c r="G39" s="30"/>
      <c r="H39" s="32"/>
      <c r="I39" s="30"/>
      <c r="J39" s="30"/>
    </row>
    <row r="40" spans="1:10" ht="15.75" x14ac:dyDescent="0.25">
      <c r="A40" s="33"/>
      <c r="B40" s="33"/>
      <c r="C40" s="31"/>
      <c r="D40" s="32"/>
      <c r="E40" s="30"/>
      <c r="F40" s="30"/>
      <c r="G40" s="30"/>
      <c r="H40" s="32"/>
      <c r="I40" s="30"/>
      <c r="J40" s="30"/>
    </row>
    <row r="41" spans="1:10" ht="15.75" x14ac:dyDescent="0.25">
      <c r="A41" s="33"/>
      <c r="B41" s="33"/>
      <c r="C41" s="31"/>
      <c r="D41" s="32"/>
      <c r="E41" s="30"/>
      <c r="F41" s="30"/>
      <c r="G41" s="30"/>
      <c r="H41" s="32"/>
      <c r="I41" s="30"/>
      <c r="J41" s="30"/>
    </row>
    <row r="42" spans="1:10" ht="15.75" x14ac:dyDescent="0.25">
      <c r="A42" s="33"/>
      <c r="B42" s="33"/>
      <c r="C42" s="31"/>
      <c r="D42" s="32"/>
      <c r="E42" s="30"/>
      <c r="F42" s="30"/>
      <c r="G42" s="30"/>
      <c r="H42" s="32"/>
      <c r="I42" s="30"/>
      <c r="J42" s="30"/>
    </row>
    <row r="43" spans="1:10" ht="15.75" x14ac:dyDescent="0.25">
      <c r="A43" s="235"/>
      <c r="B43" s="235"/>
      <c r="C43" s="31"/>
      <c r="D43" s="32"/>
      <c r="E43" s="30"/>
      <c r="F43" s="30"/>
      <c r="G43" s="30"/>
      <c r="H43" s="32"/>
      <c r="I43" s="30"/>
      <c r="J43" s="30"/>
    </row>
    <row r="44" spans="1:10" ht="15.75" x14ac:dyDescent="0.25">
      <c r="A44" s="236"/>
      <c r="B44" s="236"/>
      <c r="C44" s="31"/>
      <c r="D44" s="32"/>
      <c r="E44" s="30"/>
      <c r="F44" s="30"/>
      <c r="G44" s="30"/>
      <c r="H44" s="32"/>
      <c r="I44" s="30"/>
      <c r="J44" s="30"/>
    </row>
    <row r="45" spans="1:10" x14ac:dyDescent="0.25">
      <c r="A45" s="30"/>
      <c r="B45" s="30"/>
      <c r="C45" s="31"/>
      <c r="D45" s="32"/>
      <c r="E45" s="30"/>
      <c r="F45" s="30"/>
      <c r="G45" s="30"/>
      <c r="H45" s="32"/>
      <c r="I45" s="30"/>
      <c r="J45" s="30"/>
    </row>
    <row r="46" spans="1:10" x14ac:dyDescent="0.25">
      <c r="A46" s="30"/>
      <c r="B46" s="30"/>
      <c r="C46" s="31"/>
      <c r="D46" s="32"/>
      <c r="E46" s="30"/>
      <c r="F46" s="30"/>
      <c r="G46" s="30"/>
      <c r="H46" s="32"/>
      <c r="I46" s="30"/>
      <c r="J46" s="30"/>
    </row>
    <row r="47" spans="1:10" x14ac:dyDescent="0.25">
      <c r="A47" s="30"/>
      <c r="B47" s="30"/>
      <c r="C47" s="31"/>
      <c r="D47" s="32"/>
      <c r="E47" s="30"/>
      <c r="F47" s="30"/>
      <c r="G47" s="30"/>
      <c r="H47" s="32"/>
      <c r="I47" s="30"/>
      <c r="J47" s="30"/>
    </row>
    <row r="48" spans="1:10" x14ac:dyDescent="0.25">
      <c r="A48" s="30"/>
      <c r="B48" s="30"/>
      <c r="C48" s="31"/>
      <c r="D48" s="32"/>
      <c r="E48" s="30"/>
      <c r="F48" s="30"/>
      <c r="G48" s="30"/>
      <c r="H48" s="32"/>
      <c r="I48" s="30"/>
      <c r="J48" s="30"/>
    </row>
    <row r="49" spans="1:10" x14ac:dyDescent="0.25">
      <c r="A49" s="30"/>
      <c r="B49" s="30"/>
      <c r="C49" s="31"/>
      <c r="D49" s="32"/>
      <c r="E49" s="30"/>
      <c r="F49" s="30"/>
      <c r="G49" s="30"/>
      <c r="H49" s="32"/>
      <c r="I49" s="30"/>
      <c r="J49" s="30"/>
    </row>
    <row r="50" spans="1:10" x14ac:dyDescent="0.25">
      <c r="A50" s="30"/>
      <c r="B50" s="30"/>
      <c r="C50" s="31"/>
      <c r="D50" s="32"/>
      <c r="E50" s="30"/>
      <c r="F50" s="30"/>
      <c r="G50" s="30"/>
      <c r="H50" s="32"/>
      <c r="I50" s="30"/>
      <c r="J50" s="30"/>
    </row>
    <row r="51" spans="1:10" x14ac:dyDescent="0.25">
      <c r="A51" s="30"/>
      <c r="B51" s="30"/>
      <c r="C51" s="31"/>
      <c r="D51" s="32"/>
      <c r="E51" s="30"/>
      <c r="F51" s="30"/>
      <c r="G51" s="30"/>
      <c r="H51" s="32"/>
      <c r="I51" s="30"/>
      <c r="J51" s="30"/>
    </row>
    <row r="52" spans="1:10" x14ac:dyDescent="0.25">
      <c r="A52" s="30"/>
      <c r="B52" s="30"/>
      <c r="C52" s="31"/>
      <c r="D52" s="32"/>
      <c r="E52" s="30"/>
      <c r="F52" s="30"/>
      <c r="G52" s="30"/>
      <c r="H52" s="32"/>
      <c r="I52" s="30"/>
      <c r="J52" s="30"/>
    </row>
    <row r="53" spans="1:10" x14ac:dyDescent="0.25">
      <c r="A53" s="30"/>
      <c r="B53" s="30"/>
      <c r="C53" s="31"/>
      <c r="D53" s="32"/>
      <c r="E53" s="30"/>
      <c r="F53" s="30"/>
      <c r="G53" s="30"/>
      <c r="H53" s="32"/>
      <c r="I53" s="30"/>
      <c r="J53" s="30"/>
    </row>
    <row r="54" spans="1:10" x14ac:dyDescent="0.25">
      <c r="A54" s="30"/>
      <c r="B54" s="30"/>
      <c r="C54" s="31"/>
      <c r="D54" s="32"/>
      <c r="E54" s="30"/>
      <c r="F54" s="30"/>
      <c r="G54" s="30"/>
      <c r="H54" s="32"/>
      <c r="I54" s="30"/>
      <c r="J54" s="30"/>
    </row>
    <row r="55" spans="1:10" x14ac:dyDescent="0.25">
      <c r="A55" s="30"/>
      <c r="B55" s="30"/>
      <c r="C55" s="31"/>
      <c r="D55" s="32"/>
      <c r="E55" s="30"/>
      <c r="F55" s="30"/>
      <c r="G55" s="30"/>
      <c r="H55" s="32"/>
      <c r="I55" s="30"/>
      <c r="J55" s="30"/>
    </row>
    <row r="56" spans="1:10" x14ac:dyDescent="0.25">
      <c r="A56" s="30"/>
      <c r="B56" s="30"/>
      <c r="C56" s="31"/>
      <c r="D56" s="32"/>
      <c r="E56" s="30"/>
      <c r="F56" s="30"/>
      <c r="G56" s="30"/>
      <c r="H56" s="32"/>
      <c r="I56" s="30"/>
      <c r="J56" s="30"/>
    </row>
  </sheetData>
  <mergeCells count="13">
    <mergeCell ref="A1:J1"/>
    <mergeCell ref="A37:B37"/>
    <mergeCell ref="A43:B43"/>
    <mergeCell ref="A44:B44"/>
    <mergeCell ref="A6:J6"/>
    <mergeCell ref="A7:J7"/>
    <mergeCell ref="A9:A10"/>
    <mergeCell ref="B9:B10"/>
    <mergeCell ref="C9:C10"/>
    <mergeCell ref="D9:D10"/>
    <mergeCell ref="E9:J9"/>
    <mergeCell ref="F2:J2"/>
    <mergeCell ref="F3:J3"/>
  </mergeCells>
  <phoneticPr fontId="12" type="noConversion"/>
  <pageMargins left="0.5" right="0.5" top="0.5" bottom="0.5" header="0.5" footer="0.5"/>
  <pageSetup paperSize="9" scale="90"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56"/>
  <sheetViews>
    <sheetView topLeftCell="A11" zoomScale="80" zoomScaleNormal="80" workbookViewId="0">
      <selection activeCell="Q12" sqref="Q12:Q34"/>
    </sheetView>
  </sheetViews>
  <sheetFormatPr defaultRowHeight="15.75" x14ac:dyDescent="0.25"/>
  <cols>
    <col min="1" max="1" width="4.28515625" style="116" customWidth="1"/>
    <col min="2" max="2" width="22.42578125" style="116" customWidth="1"/>
    <col min="3" max="3" width="11.85546875" style="117" customWidth="1"/>
    <col min="4" max="4" width="11.7109375" style="118" customWidth="1"/>
    <col min="5" max="5" width="10.28515625" style="116" customWidth="1"/>
    <col min="6" max="6" width="10.42578125" style="116" customWidth="1"/>
    <col min="7" max="7" width="10.5703125" style="116" customWidth="1"/>
    <col min="8" max="8" width="11.140625" style="118" customWidth="1"/>
    <col min="9" max="9" width="8.5703125" style="116" customWidth="1"/>
    <col min="10" max="10" width="8" style="116" customWidth="1"/>
    <col min="11" max="13" width="9.140625" style="116"/>
    <col min="14" max="14" width="11.140625" style="118" bestFit="1" customWidth="1"/>
    <col min="15" max="16384" width="9.140625" style="116"/>
  </cols>
  <sheetData>
    <row r="1" spans="1:16" x14ac:dyDescent="0.25">
      <c r="A1" s="250" t="s">
        <v>39</v>
      </c>
      <c r="B1" s="250"/>
      <c r="C1" s="250"/>
      <c r="D1" s="250"/>
      <c r="E1" s="250"/>
      <c r="F1" s="250"/>
      <c r="G1" s="250"/>
      <c r="H1" s="250"/>
      <c r="I1" s="250"/>
      <c r="J1" s="250"/>
    </row>
    <row r="2" spans="1:16" x14ac:dyDescent="0.25">
      <c r="A2" s="116" t="s">
        <v>46</v>
      </c>
      <c r="F2" s="254" t="s">
        <v>73</v>
      </c>
      <c r="G2" s="254"/>
      <c r="H2" s="254"/>
      <c r="I2" s="254"/>
      <c r="J2" s="254"/>
    </row>
    <row r="3" spans="1:16" x14ac:dyDescent="0.25">
      <c r="A3" s="116" t="s">
        <v>71</v>
      </c>
      <c r="F3" s="254" t="s">
        <v>74</v>
      </c>
      <c r="G3" s="254"/>
      <c r="H3" s="254"/>
      <c r="I3" s="254"/>
      <c r="J3" s="254"/>
    </row>
    <row r="6" spans="1:16" x14ac:dyDescent="0.25">
      <c r="A6" s="251" t="s">
        <v>66</v>
      </c>
      <c r="B6" s="251"/>
      <c r="C6" s="251"/>
      <c r="D6" s="251"/>
      <c r="E6" s="251"/>
      <c r="F6" s="251"/>
      <c r="G6" s="251"/>
      <c r="H6" s="251"/>
      <c r="I6" s="251"/>
      <c r="J6" s="251"/>
    </row>
    <row r="7" spans="1:16" x14ac:dyDescent="0.25">
      <c r="A7" s="250" t="s">
        <v>72</v>
      </c>
      <c r="B7" s="250"/>
      <c r="C7" s="250"/>
      <c r="D7" s="250"/>
      <c r="E7" s="250"/>
      <c r="F7" s="250"/>
      <c r="G7" s="250"/>
      <c r="H7" s="250"/>
      <c r="I7" s="250"/>
      <c r="J7" s="250"/>
    </row>
    <row r="9" spans="1:16" x14ac:dyDescent="0.25">
      <c r="A9" s="252" t="s">
        <v>4</v>
      </c>
      <c r="B9" s="252" t="s">
        <v>5</v>
      </c>
      <c r="C9" s="252" t="s">
        <v>6</v>
      </c>
      <c r="D9" s="253" t="s">
        <v>7</v>
      </c>
      <c r="E9" s="252" t="s">
        <v>8</v>
      </c>
      <c r="F9" s="252"/>
      <c r="G9" s="252"/>
      <c r="H9" s="252"/>
      <c r="I9" s="252"/>
      <c r="J9" s="252"/>
    </row>
    <row r="10" spans="1:16" ht="94.5" x14ac:dyDescent="0.25">
      <c r="A10" s="252"/>
      <c r="B10" s="252"/>
      <c r="C10" s="252"/>
      <c r="D10" s="253"/>
      <c r="E10" s="119" t="s">
        <v>9</v>
      </c>
      <c r="F10" s="119" t="s">
        <v>10</v>
      </c>
      <c r="G10" s="119" t="s">
        <v>11</v>
      </c>
      <c r="H10" s="120" t="s">
        <v>12</v>
      </c>
      <c r="I10" s="119" t="s">
        <v>13</v>
      </c>
      <c r="J10" s="119" t="s">
        <v>14</v>
      </c>
    </row>
    <row r="11" spans="1:16" x14ac:dyDescent="0.25">
      <c r="A11" s="119" t="s">
        <v>15</v>
      </c>
      <c r="B11" s="119" t="s">
        <v>16</v>
      </c>
      <c r="C11" s="119" t="s">
        <v>17</v>
      </c>
      <c r="D11" s="120">
        <v>1</v>
      </c>
      <c r="E11" s="119">
        <v>2</v>
      </c>
      <c r="F11" s="119">
        <v>3</v>
      </c>
      <c r="G11" s="119">
        <v>4</v>
      </c>
      <c r="H11" s="120">
        <v>5</v>
      </c>
      <c r="I11" s="119" t="s">
        <v>18</v>
      </c>
      <c r="J11" s="119" t="s">
        <v>19</v>
      </c>
    </row>
    <row r="12" spans="1:16" s="190" customFormat="1" x14ac:dyDescent="0.25">
      <c r="A12" s="121"/>
      <c r="B12" s="121" t="s">
        <v>20</v>
      </c>
      <c r="C12" s="122" t="s">
        <v>21</v>
      </c>
      <c r="D12" s="58">
        <v>1064879</v>
      </c>
      <c r="E12" s="85">
        <f>E13+E14+E15+E16</f>
        <v>370542</v>
      </c>
      <c r="F12" s="85">
        <f>F13+F14+F15+F16</f>
        <v>93472.074999999997</v>
      </c>
      <c r="G12" s="85">
        <f>G13+G14+G15+G16</f>
        <v>464014.07500000001</v>
      </c>
      <c r="H12" s="85">
        <f>H13+H14+H15+H16</f>
        <v>411421</v>
      </c>
      <c r="I12" s="124">
        <f>G12/H12</f>
        <v>1.1278327431025641</v>
      </c>
      <c r="J12" s="124">
        <f>G12/D12</f>
        <v>0.43574347414119352</v>
      </c>
      <c r="L12" s="191"/>
      <c r="N12" s="85">
        <f>N13+N14+N15+N16</f>
        <v>352392</v>
      </c>
      <c r="O12" s="189">
        <f>O13+O14+O15</f>
        <v>59029</v>
      </c>
      <c r="P12" s="192">
        <f>N12+O12</f>
        <v>411421</v>
      </c>
    </row>
    <row r="13" spans="1:16" x14ac:dyDescent="0.25">
      <c r="A13" s="126"/>
      <c r="B13" s="126" t="s">
        <v>22</v>
      </c>
      <c r="C13" s="127" t="s">
        <v>21</v>
      </c>
      <c r="D13" s="58"/>
      <c r="E13" s="87">
        <f>E20+E27+E31</f>
        <v>70975</v>
      </c>
      <c r="F13" s="87">
        <f>F20+F27+F31</f>
        <v>18580.325000000001</v>
      </c>
      <c r="G13" s="87">
        <f>G20+G27+G31</f>
        <v>89555.324999999997</v>
      </c>
      <c r="H13" s="87">
        <f>H20+H27+H31</f>
        <v>89462</v>
      </c>
      <c r="I13" s="124">
        <f t="shared" ref="I13:I19" si="0">G13/H13</f>
        <v>1.0010431803447273</v>
      </c>
      <c r="J13" s="124"/>
      <c r="L13" s="191"/>
      <c r="N13" s="87">
        <f>N20+N27+N31</f>
        <v>83718</v>
      </c>
      <c r="O13" s="193">
        <v>5744</v>
      </c>
      <c r="P13" s="192">
        <f t="shared" ref="P13:P34" si="1">N13+O13</f>
        <v>89462</v>
      </c>
    </row>
    <row r="14" spans="1:16" x14ac:dyDescent="0.25">
      <c r="A14" s="126"/>
      <c r="B14" s="126" t="s">
        <v>23</v>
      </c>
      <c r="C14" s="127" t="s">
        <v>21</v>
      </c>
      <c r="D14" s="58"/>
      <c r="E14" s="87">
        <f>E22+E28+E32</f>
        <v>95250</v>
      </c>
      <c r="F14" s="87">
        <f>F22+F28+F32</f>
        <v>23812.5</v>
      </c>
      <c r="G14" s="87">
        <f>G22+G28+G32</f>
        <v>119062.5</v>
      </c>
      <c r="H14" s="87">
        <f>H22+H28+H32</f>
        <v>111672</v>
      </c>
      <c r="I14" s="124">
        <f t="shared" si="0"/>
        <v>1.0661804212336128</v>
      </c>
      <c r="J14" s="124"/>
      <c r="L14" s="191"/>
      <c r="N14" s="87">
        <f>N22+N28+N32</f>
        <v>109289</v>
      </c>
      <c r="O14" s="193">
        <v>2383</v>
      </c>
      <c r="P14" s="192">
        <f t="shared" si="1"/>
        <v>111672</v>
      </c>
    </row>
    <row r="15" spans="1:16" x14ac:dyDescent="0.25">
      <c r="A15" s="126"/>
      <c r="B15" s="126" t="s">
        <v>24</v>
      </c>
      <c r="C15" s="127" t="s">
        <v>21</v>
      </c>
      <c r="D15" s="58"/>
      <c r="E15" s="87">
        <f>E24+E29+E33</f>
        <v>202877</v>
      </c>
      <c r="F15" s="87">
        <f>F24+F29+F33</f>
        <v>50719.25</v>
      </c>
      <c r="G15" s="87">
        <f>G24+G29+G33</f>
        <v>253596.25</v>
      </c>
      <c r="H15" s="87">
        <f>H24+H29+H33</f>
        <v>208867</v>
      </c>
      <c r="I15" s="124">
        <f t="shared" si="0"/>
        <v>1.2141518286756645</v>
      </c>
      <c r="J15" s="124"/>
      <c r="L15" s="191"/>
      <c r="N15" s="87">
        <f>N24+N29+N33</f>
        <v>157965</v>
      </c>
      <c r="O15" s="193">
        <v>50902</v>
      </c>
      <c r="P15" s="192">
        <f t="shared" si="1"/>
        <v>208867</v>
      </c>
    </row>
    <row r="16" spans="1:16" x14ac:dyDescent="0.25">
      <c r="A16" s="126"/>
      <c r="B16" s="126" t="s">
        <v>43</v>
      </c>
      <c r="C16" s="127" t="s">
        <v>21</v>
      </c>
      <c r="D16" s="58"/>
      <c r="E16" s="87">
        <v>1440</v>
      </c>
      <c r="F16" s="87">
        <f>E16/4</f>
        <v>360</v>
      </c>
      <c r="G16" s="87">
        <f>F16+E16</f>
        <v>1800</v>
      </c>
      <c r="H16" s="87">
        <v>1420</v>
      </c>
      <c r="I16" s="124"/>
      <c r="J16" s="124"/>
      <c r="L16" s="191"/>
      <c r="N16" s="87">
        <v>1420</v>
      </c>
      <c r="O16" s="193"/>
      <c r="P16" s="192">
        <f t="shared" si="1"/>
        <v>1420</v>
      </c>
    </row>
    <row r="17" spans="1:16" x14ac:dyDescent="0.25">
      <c r="A17" s="126"/>
      <c r="B17" s="126" t="s">
        <v>26</v>
      </c>
      <c r="C17" s="127"/>
      <c r="D17" s="189" t="s">
        <v>52</v>
      </c>
      <c r="E17" s="87"/>
      <c r="F17" s="87"/>
      <c r="G17" s="87"/>
      <c r="H17" s="87"/>
      <c r="I17" s="124"/>
      <c r="J17" s="124"/>
      <c r="L17" s="191"/>
      <c r="N17" s="87"/>
      <c r="O17" s="193"/>
      <c r="P17" s="192">
        <f t="shared" si="1"/>
        <v>0</v>
      </c>
    </row>
    <row r="18" spans="1:16" s="195" customFormat="1" x14ac:dyDescent="0.25">
      <c r="A18" s="129">
        <v>1</v>
      </c>
      <c r="B18" s="129" t="s">
        <v>27</v>
      </c>
      <c r="C18" s="130" t="s">
        <v>21</v>
      </c>
      <c r="D18" s="58">
        <v>317261</v>
      </c>
      <c r="E18" s="88">
        <f>E20+E22+E24</f>
        <v>101981</v>
      </c>
      <c r="F18" s="88">
        <f t="shared" ref="E18:H19" si="2">F20+F22+F24</f>
        <v>26331.825000000001</v>
      </c>
      <c r="G18" s="88">
        <f t="shared" si="2"/>
        <v>128312.825</v>
      </c>
      <c r="H18" s="88">
        <f>H20+H22+H24</f>
        <v>117349</v>
      </c>
      <c r="I18" s="124">
        <f t="shared" si="0"/>
        <v>1.0934292154172596</v>
      </c>
      <c r="J18" s="124"/>
      <c r="K18" s="194"/>
      <c r="L18" s="191"/>
      <c r="N18" s="88">
        <f>N20+N22+N24</f>
        <v>116229</v>
      </c>
      <c r="O18" s="196">
        <v>1120</v>
      </c>
      <c r="P18" s="192">
        <f t="shared" si="1"/>
        <v>117349</v>
      </c>
    </row>
    <row r="19" spans="1:16" ht="15.75" customHeight="1" x14ac:dyDescent="0.25">
      <c r="A19" s="129"/>
      <c r="B19" s="129"/>
      <c r="C19" s="130" t="s">
        <v>28</v>
      </c>
      <c r="D19" s="58">
        <v>32555</v>
      </c>
      <c r="E19" s="88">
        <f t="shared" si="2"/>
        <v>10520</v>
      </c>
      <c r="F19" s="88">
        <f t="shared" si="2"/>
        <v>2712.35</v>
      </c>
      <c r="G19" s="88">
        <f t="shared" si="2"/>
        <v>13232.35</v>
      </c>
      <c r="H19" s="88">
        <f t="shared" si="2"/>
        <v>12104</v>
      </c>
      <c r="I19" s="124">
        <f t="shared" si="0"/>
        <v>1.0932212491738269</v>
      </c>
      <c r="J19" s="124">
        <f>G19/D19</f>
        <v>0.40646137306097374</v>
      </c>
      <c r="K19" s="194"/>
      <c r="L19" s="191"/>
      <c r="N19" s="88">
        <f t="shared" ref="N19" si="3">N21+N23+N25</f>
        <v>11861</v>
      </c>
      <c r="O19" s="193">
        <v>243</v>
      </c>
      <c r="P19" s="192">
        <f t="shared" si="1"/>
        <v>12104</v>
      </c>
    </row>
    <row r="20" spans="1:16" ht="15.75" customHeight="1" x14ac:dyDescent="0.25">
      <c r="A20" s="126"/>
      <c r="B20" s="126" t="s">
        <v>29</v>
      </c>
      <c r="C20" s="127" t="s">
        <v>30</v>
      </c>
      <c r="D20" s="58"/>
      <c r="E20" s="186">
        <v>33463</v>
      </c>
      <c r="F20" s="65">
        <f>E20/4*1.1</f>
        <v>9202.3250000000007</v>
      </c>
      <c r="G20" s="87">
        <f>F20+E20</f>
        <v>42665.324999999997</v>
      </c>
      <c r="H20" s="186">
        <v>39249</v>
      </c>
      <c r="I20" s="124"/>
      <c r="J20" s="124"/>
      <c r="K20" s="65">
        <f>G21+G23</f>
        <v>8454.85</v>
      </c>
      <c r="L20" s="191"/>
      <c r="M20" s="118"/>
      <c r="N20" s="65">
        <v>39144</v>
      </c>
      <c r="O20" s="197">
        <v>105</v>
      </c>
      <c r="P20" s="192">
        <f t="shared" si="1"/>
        <v>39249</v>
      </c>
    </row>
    <row r="21" spans="1:16" ht="15.75" customHeight="1" x14ac:dyDescent="0.25">
      <c r="A21" s="126"/>
      <c r="B21" s="126"/>
      <c r="C21" s="127" t="s">
        <v>28</v>
      </c>
      <c r="D21" s="58"/>
      <c r="E21" s="186">
        <v>3294</v>
      </c>
      <c r="F21" s="65">
        <f>E21/4*1.1</f>
        <v>905.85</v>
      </c>
      <c r="G21" s="87">
        <f t="shared" ref="G21:G33" si="4">F21+E21</f>
        <v>4199.8500000000004</v>
      </c>
      <c r="H21" s="186">
        <v>3783</v>
      </c>
      <c r="I21" s="124"/>
      <c r="J21" s="198"/>
      <c r="K21" s="65">
        <f>H21+H23</f>
        <v>7586</v>
      </c>
      <c r="L21" s="199"/>
      <c r="N21" s="65">
        <v>3774</v>
      </c>
      <c r="O21" s="193">
        <v>9</v>
      </c>
      <c r="P21" s="192">
        <f t="shared" si="1"/>
        <v>3783</v>
      </c>
    </row>
    <row r="22" spans="1:16" x14ac:dyDescent="0.25">
      <c r="A22" s="126"/>
      <c r="B22" s="126" t="s">
        <v>31</v>
      </c>
      <c r="C22" s="127" t="s">
        <v>30</v>
      </c>
      <c r="D22" s="58"/>
      <c r="E22" s="186">
        <v>33176</v>
      </c>
      <c r="F22" s="65">
        <f t="shared" ref="F22:F25" si="5">E22/4</f>
        <v>8294</v>
      </c>
      <c r="G22" s="87">
        <f t="shared" si="4"/>
        <v>41470</v>
      </c>
      <c r="H22" s="186">
        <v>39156</v>
      </c>
      <c r="I22" s="124"/>
      <c r="J22" s="198"/>
      <c r="K22" s="205">
        <f>K20/K21</f>
        <v>1.1145333509095703</v>
      </c>
      <c r="L22" s="191"/>
      <c r="M22" s="190"/>
      <c r="N22" s="65">
        <v>39018</v>
      </c>
      <c r="O22" s="193">
        <v>138</v>
      </c>
      <c r="P22" s="192">
        <f t="shared" si="1"/>
        <v>39156</v>
      </c>
    </row>
    <row r="23" spans="1:16" x14ac:dyDescent="0.25">
      <c r="A23" s="126"/>
      <c r="B23" s="126"/>
      <c r="C23" s="127" t="s">
        <v>28</v>
      </c>
      <c r="D23" s="58"/>
      <c r="E23" s="186">
        <v>3404</v>
      </c>
      <c r="F23" s="65">
        <f t="shared" si="5"/>
        <v>851</v>
      </c>
      <c r="G23" s="87">
        <f t="shared" si="4"/>
        <v>4255</v>
      </c>
      <c r="H23" s="186">
        <v>3803</v>
      </c>
      <c r="I23" s="124"/>
      <c r="J23" s="198"/>
      <c r="K23" s="65"/>
      <c r="L23" s="199"/>
      <c r="N23" s="65">
        <v>3790</v>
      </c>
      <c r="O23" s="193">
        <v>13</v>
      </c>
      <c r="P23" s="192">
        <f t="shared" si="1"/>
        <v>3803</v>
      </c>
    </row>
    <row r="24" spans="1:16" x14ac:dyDescent="0.25">
      <c r="A24" s="126"/>
      <c r="B24" s="126" t="s">
        <v>32</v>
      </c>
      <c r="C24" s="127" t="s">
        <v>30</v>
      </c>
      <c r="D24" s="58"/>
      <c r="E24" s="186">
        <v>35342</v>
      </c>
      <c r="F24" s="65">
        <f t="shared" si="5"/>
        <v>8835.5</v>
      </c>
      <c r="G24" s="87">
        <f t="shared" si="4"/>
        <v>44177.5</v>
      </c>
      <c r="H24" s="186">
        <v>38944</v>
      </c>
      <c r="I24" s="124"/>
      <c r="J24" s="198"/>
      <c r="K24" s="65"/>
      <c r="L24" s="191"/>
      <c r="N24" s="65">
        <v>38067</v>
      </c>
      <c r="O24" s="193">
        <v>877</v>
      </c>
      <c r="P24" s="192">
        <f t="shared" si="1"/>
        <v>38944</v>
      </c>
    </row>
    <row r="25" spans="1:16" x14ac:dyDescent="0.25">
      <c r="A25" s="126"/>
      <c r="B25" s="126"/>
      <c r="C25" s="127" t="s">
        <v>28</v>
      </c>
      <c r="D25" s="58"/>
      <c r="E25" s="186">
        <v>3822</v>
      </c>
      <c r="F25" s="65">
        <f t="shared" si="5"/>
        <v>955.5</v>
      </c>
      <c r="G25" s="87">
        <f t="shared" si="4"/>
        <v>4777.5</v>
      </c>
      <c r="H25" s="186">
        <v>4518</v>
      </c>
      <c r="I25" s="124"/>
      <c r="J25" s="198"/>
      <c r="K25" s="65"/>
      <c r="L25" s="199"/>
      <c r="N25" s="65">
        <v>4297</v>
      </c>
      <c r="O25" s="193">
        <v>221</v>
      </c>
      <c r="P25" s="192">
        <f t="shared" si="1"/>
        <v>4518</v>
      </c>
    </row>
    <row r="26" spans="1:16" s="195" customFormat="1" x14ac:dyDescent="0.25">
      <c r="A26" s="129">
        <v>2</v>
      </c>
      <c r="B26" s="129" t="s">
        <v>33</v>
      </c>
      <c r="C26" s="130" t="s">
        <v>21</v>
      </c>
      <c r="D26" s="58">
        <v>90487</v>
      </c>
      <c r="E26" s="88">
        <f>E27+E28+E29</f>
        <v>29497</v>
      </c>
      <c r="F26" s="88">
        <f>F27+F28+F29</f>
        <v>7374.25</v>
      </c>
      <c r="G26" s="88">
        <f>G27+G28+G29</f>
        <v>36871.25</v>
      </c>
      <c r="H26" s="88">
        <f>H27+H28+H29</f>
        <v>35451</v>
      </c>
      <c r="I26" s="198">
        <f>G26/H26</f>
        <v>1.0400623395672901</v>
      </c>
      <c r="J26" s="200">
        <f>G26/D26</f>
        <v>0.40747565948699815</v>
      </c>
      <c r="N26" s="88">
        <f>N27+N28+N29</f>
        <v>34874</v>
      </c>
      <c r="O26" s="196">
        <v>577</v>
      </c>
      <c r="P26" s="192">
        <f t="shared" si="1"/>
        <v>35451</v>
      </c>
    </row>
    <row r="27" spans="1:16" x14ac:dyDescent="0.25">
      <c r="A27" s="126"/>
      <c r="B27" s="126" t="s">
        <v>29</v>
      </c>
      <c r="C27" s="127" t="s">
        <v>21</v>
      </c>
      <c r="D27" s="58"/>
      <c r="E27" s="186">
        <v>1370</v>
      </c>
      <c r="F27" s="65">
        <f>E27/4</f>
        <v>342.5</v>
      </c>
      <c r="G27" s="87">
        <f>E27+F27</f>
        <v>1712.5</v>
      </c>
      <c r="H27" s="186">
        <v>2155</v>
      </c>
      <c r="I27" s="198"/>
      <c r="J27" s="124"/>
      <c r="N27" s="65">
        <v>2155</v>
      </c>
      <c r="O27" s="193">
        <v>0</v>
      </c>
      <c r="P27" s="192">
        <f t="shared" si="1"/>
        <v>2155</v>
      </c>
    </row>
    <row r="28" spans="1:16" x14ac:dyDescent="0.25">
      <c r="A28" s="126"/>
      <c r="B28" s="126" t="s">
        <v>34</v>
      </c>
      <c r="C28" s="127" t="s">
        <v>21</v>
      </c>
      <c r="D28" s="58"/>
      <c r="E28" s="186">
        <v>11241</v>
      </c>
      <c r="F28" s="65">
        <f>E28/4</f>
        <v>2810.25</v>
      </c>
      <c r="G28" s="87">
        <f>E28+F28</f>
        <v>14051.25</v>
      </c>
      <c r="H28" s="186">
        <v>14270</v>
      </c>
      <c r="I28" s="198"/>
      <c r="J28" s="124"/>
      <c r="N28" s="65">
        <v>14200</v>
      </c>
      <c r="O28" s="193">
        <v>70</v>
      </c>
      <c r="P28" s="192">
        <f t="shared" si="1"/>
        <v>14270</v>
      </c>
    </row>
    <row r="29" spans="1:16" ht="15.75" customHeight="1" x14ac:dyDescent="0.25">
      <c r="A29" s="126"/>
      <c r="B29" s="126" t="s">
        <v>32</v>
      </c>
      <c r="C29" s="127" t="s">
        <v>21</v>
      </c>
      <c r="D29" s="58"/>
      <c r="E29" s="186">
        <v>16886</v>
      </c>
      <c r="F29" s="65">
        <f>E29/4</f>
        <v>4221.5</v>
      </c>
      <c r="G29" s="87">
        <f>E29+F29</f>
        <v>21107.5</v>
      </c>
      <c r="H29" s="186">
        <v>19026</v>
      </c>
      <c r="I29" s="198"/>
      <c r="J29" s="124"/>
      <c r="N29" s="65">
        <v>18519</v>
      </c>
      <c r="O29" s="193">
        <v>507</v>
      </c>
      <c r="P29" s="192">
        <f t="shared" si="1"/>
        <v>19026</v>
      </c>
    </row>
    <row r="30" spans="1:16" s="195" customFormat="1" x14ac:dyDescent="0.25">
      <c r="A30" s="129">
        <v>3</v>
      </c>
      <c r="B30" s="129" t="s">
        <v>35</v>
      </c>
      <c r="C30" s="130" t="s">
        <v>21</v>
      </c>
      <c r="D30" s="58">
        <v>651947</v>
      </c>
      <c r="E30" s="88">
        <f>E31+E32+E33</f>
        <v>237624</v>
      </c>
      <c r="F30" s="88">
        <f>F31+F32+F33</f>
        <v>59406</v>
      </c>
      <c r="G30" s="88">
        <f>G31+G32+G33</f>
        <v>297030</v>
      </c>
      <c r="H30" s="88">
        <f>H31+H32+H33</f>
        <v>257201</v>
      </c>
      <c r="I30" s="124">
        <f>G30/H30</f>
        <v>1.1548555409971191</v>
      </c>
      <c r="J30" s="132">
        <f>G30/D30</f>
        <v>0.45560451999932511</v>
      </c>
      <c r="N30" s="88">
        <f>N31+N32+N33</f>
        <v>199869</v>
      </c>
      <c r="O30" s="196">
        <v>57332</v>
      </c>
      <c r="P30" s="192">
        <f t="shared" si="1"/>
        <v>257201</v>
      </c>
    </row>
    <row r="31" spans="1:16" x14ac:dyDescent="0.25">
      <c r="A31" s="126"/>
      <c r="B31" s="126" t="s">
        <v>29</v>
      </c>
      <c r="C31" s="127" t="s">
        <v>21</v>
      </c>
      <c r="D31" s="58"/>
      <c r="E31" s="186">
        <v>36142</v>
      </c>
      <c r="F31" s="65">
        <f>E31/4</f>
        <v>9035.5</v>
      </c>
      <c r="G31" s="87">
        <f t="shared" si="4"/>
        <v>45177.5</v>
      </c>
      <c r="H31" s="186">
        <v>48058</v>
      </c>
      <c r="I31" s="124"/>
      <c r="J31" s="124"/>
      <c r="N31" s="65">
        <v>42419</v>
      </c>
      <c r="O31" s="193">
        <v>5639</v>
      </c>
      <c r="P31" s="192">
        <f t="shared" si="1"/>
        <v>48058</v>
      </c>
    </row>
    <row r="32" spans="1:16" x14ac:dyDescent="0.25">
      <c r="A32" s="126"/>
      <c r="B32" s="126" t="s">
        <v>34</v>
      </c>
      <c r="C32" s="127" t="s">
        <v>21</v>
      </c>
      <c r="D32" s="58"/>
      <c r="E32" s="186">
        <v>50833</v>
      </c>
      <c r="F32" s="65">
        <f>E32/4</f>
        <v>12708.25</v>
      </c>
      <c r="G32" s="87">
        <f t="shared" si="4"/>
        <v>63541.25</v>
      </c>
      <c r="H32" s="186">
        <v>58246</v>
      </c>
      <c r="I32" s="124"/>
      <c r="J32" s="124"/>
      <c r="N32" s="65">
        <v>56071</v>
      </c>
      <c r="O32" s="193">
        <v>2175</v>
      </c>
      <c r="P32" s="192">
        <f t="shared" si="1"/>
        <v>58246</v>
      </c>
    </row>
    <row r="33" spans="1:16" ht="15.75" customHeight="1" x14ac:dyDescent="0.25">
      <c r="A33" s="126"/>
      <c r="B33" s="126" t="s">
        <v>32</v>
      </c>
      <c r="C33" s="127" t="s">
        <v>21</v>
      </c>
      <c r="D33" s="58"/>
      <c r="E33" s="186">
        <v>150649</v>
      </c>
      <c r="F33" s="65">
        <f>E33/4</f>
        <v>37662.25</v>
      </c>
      <c r="G33" s="87">
        <f t="shared" si="4"/>
        <v>188311.25</v>
      </c>
      <c r="H33" s="186">
        <v>150897</v>
      </c>
      <c r="I33" s="124"/>
      <c r="J33" s="124"/>
      <c r="N33" s="65">
        <v>101379</v>
      </c>
      <c r="O33" s="193">
        <v>49518</v>
      </c>
      <c r="P33" s="192">
        <f t="shared" si="1"/>
        <v>150897</v>
      </c>
    </row>
    <row r="34" spans="1:16" s="195" customFormat="1" x14ac:dyDescent="0.25">
      <c r="A34" s="129">
        <v>4</v>
      </c>
      <c r="B34" s="129" t="s">
        <v>25</v>
      </c>
      <c r="C34" s="130" t="s">
        <v>21</v>
      </c>
      <c r="D34" s="58">
        <v>89834</v>
      </c>
      <c r="E34" s="187">
        <v>35785</v>
      </c>
      <c r="F34" s="201">
        <f>E34/4</f>
        <v>8946.25</v>
      </c>
      <c r="G34" s="88">
        <f>F34+E34</f>
        <v>44731.25</v>
      </c>
      <c r="H34" s="187">
        <v>40641</v>
      </c>
      <c r="I34" s="124">
        <f>G34/H34</f>
        <v>1.1006434388917596</v>
      </c>
      <c r="J34" s="132">
        <f>G34/D34</f>
        <v>0.49793229734844269</v>
      </c>
      <c r="N34" s="188">
        <v>40641</v>
      </c>
      <c r="P34" s="192">
        <f t="shared" si="1"/>
        <v>40641</v>
      </c>
    </row>
    <row r="35" spans="1:16" x14ac:dyDescent="0.25">
      <c r="A35" s="126"/>
      <c r="B35" s="126"/>
      <c r="C35" s="127"/>
      <c r="D35" s="87"/>
      <c r="E35" s="126"/>
      <c r="F35" s="126"/>
      <c r="G35" s="126"/>
      <c r="H35" s="87"/>
      <c r="I35" s="134"/>
      <c r="J35" s="134"/>
    </row>
    <row r="36" spans="1:16" x14ac:dyDescent="0.25">
      <c r="A36" s="202"/>
      <c r="B36" s="202"/>
      <c r="C36" s="203"/>
      <c r="D36" s="204"/>
      <c r="E36" s="202"/>
      <c r="F36" s="202"/>
      <c r="G36" s="202"/>
      <c r="H36" s="204"/>
      <c r="I36" s="202"/>
      <c r="J36" s="202"/>
    </row>
    <row r="37" spans="1:16" ht="36.75" customHeight="1" x14ac:dyDescent="0.25">
      <c r="A37" s="247" t="s">
        <v>44</v>
      </c>
      <c r="B37" s="247"/>
      <c r="C37" s="247"/>
      <c r="D37" s="247"/>
      <c r="E37" s="247"/>
      <c r="F37" s="247"/>
      <c r="G37" s="247"/>
      <c r="H37" s="247"/>
      <c r="I37" s="247"/>
      <c r="J37" s="247"/>
    </row>
    <row r="38" spans="1:16" ht="16.5" customHeight="1" x14ac:dyDescent="0.25">
      <c r="A38" s="79"/>
      <c r="B38" s="79"/>
      <c r="C38" s="203"/>
      <c r="D38" s="204"/>
      <c r="E38" s="202"/>
      <c r="F38" s="202"/>
      <c r="G38" s="202"/>
      <c r="H38" s="204"/>
      <c r="I38" s="202"/>
      <c r="J38" s="202"/>
    </row>
    <row r="39" spans="1:16" x14ac:dyDescent="0.25">
      <c r="A39" s="79"/>
      <c r="B39" s="79"/>
      <c r="C39" s="203"/>
      <c r="D39" s="204"/>
      <c r="E39" s="202"/>
      <c r="F39" s="202"/>
      <c r="G39" s="202"/>
      <c r="H39" s="204"/>
      <c r="I39" s="202"/>
      <c r="J39" s="202"/>
    </row>
    <row r="40" spans="1:16" x14ac:dyDescent="0.25">
      <c r="A40" s="79"/>
      <c r="B40" s="79"/>
      <c r="C40" s="203"/>
      <c r="D40" s="204"/>
      <c r="E40" s="202"/>
      <c r="F40" s="202"/>
      <c r="G40" s="202"/>
      <c r="H40" s="204"/>
      <c r="I40" s="202"/>
      <c r="J40" s="202"/>
    </row>
    <row r="41" spans="1:16" x14ac:dyDescent="0.25">
      <c r="A41" s="79"/>
      <c r="B41" s="79"/>
      <c r="C41" s="203"/>
      <c r="D41" s="204"/>
      <c r="E41" s="202"/>
      <c r="F41" s="202"/>
      <c r="G41" s="202"/>
      <c r="H41" s="204"/>
      <c r="I41" s="202"/>
      <c r="J41" s="202"/>
    </row>
    <row r="42" spans="1:16" x14ac:dyDescent="0.25">
      <c r="A42" s="79"/>
      <c r="B42" s="79"/>
      <c r="C42" s="203"/>
      <c r="D42" s="204"/>
      <c r="E42" s="202"/>
      <c r="F42" s="202"/>
      <c r="G42" s="202"/>
      <c r="H42" s="204"/>
      <c r="I42" s="202"/>
      <c r="J42" s="202"/>
    </row>
    <row r="43" spans="1:16" x14ac:dyDescent="0.25">
      <c r="A43" s="246"/>
      <c r="B43" s="246"/>
      <c r="C43" s="203"/>
      <c r="D43" s="204"/>
      <c r="E43" s="202"/>
      <c r="F43" s="202"/>
      <c r="G43" s="202"/>
      <c r="H43" s="204"/>
      <c r="I43" s="202"/>
      <c r="J43" s="202"/>
    </row>
    <row r="44" spans="1:16" x14ac:dyDescent="0.25">
      <c r="A44" s="241"/>
      <c r="B44" s="241"/>
      <c r="C44" s="203"/>
      <c r="D44" s="204"/>
      <c r="E44" s="202"/>
      <c r="F44" s="202"/>
      <c r="G44" s="202"/>
      <c r="H44" s="204"/>
      <c r="I44" s="202"/>
      <c r="J44" s="202"/>
    </row>
    <row r="45" spans="1:16" x14ac:dyDescent="0.25">
      <c r="A45" s="202"/>
      <c r="B45" s="202"/>
      <c r="C45" s="203"/>
      <c r="D45" s="204"/>
      <c r="E45" s="202"/>
      <c r="F45" s="202"/>
      <c r="G45" s="202"/>
      <c r="H45" s="204"/>
      <c r="I45" s="202"/>
      <c r="J45" s="202"/>
    </row>
    <row r="46" spans="1:16" x14ac:dyDescent="0.25">
      <c r="A46" s="202"/>
      <c r="B46" s="202"/>
      <c r="C46" s="203"/>
      <c r="D46" s="204"/>
      <c r="E46" s="202"/>
      <c r="F46" s="202"/>
      <c r="G46" s="202"/>
      <c r="H46" s="204"/>
      <c r="I46" s="202"/>
      <c r="J46" s="202"/>
    </row>
    <row r="47" spans="1:16" x14ac:dyDescent="0.25">
      <c r="A47" s="202"/>
      <c r="B47" s="202"/>
      <c r="C47" s="203"/>
      <c r="D47" s="204"/>
      <c r="E47" s="202"/>
      <c r="F47" s="202"/>
      <c r="G47" s="202"/>
      <c r="H47" s="204"/>
      <c r="I47" s="202"/>
      <c r="J47" s="202"/>
    </row>
    <row r="48" spans="1:16" x14ac:dyDescent="0.25">
      <c r="A48" s="202"/>
      <c r="B48" s="202"/>
      <c r="C48" s="203"/>
      <c r="D48" s="204"/>
      <c r="E48" s="202"/>
      <c r="F48" s="202"/>
      <c r="G48" s="202"/>
      <c r="H48" s="204"/>
      <c r="I48" s="202"/>
      <c r="J48" s="202"/>
    </row>
    <row r="49" spans="1:10" x14ac:dyDescent="0.25">
      <c r="A49" s="202"/>
      <c r="B49" s="202"/>
      <c r="C49" s="203"/>
      <c r="D49" s="204"/>
      <c r="E49" s="202"/>
      <c r="F49" s="202"/>
      <c r="G49" s="202"/>
      <c r="H49" s="204"/>
      <c r="I49" s="202"/>
      <c r="J49" s="202"/>
    </row>
    <row r="50" spans="1:10" x14ac:dyDescent="0.25">
      <c r="A50" s="202"/>
      <c r="B50" s="202"/>
      <c r="C50" s="203"/>
      <c r="D50" s="204"/>
      <c r="E50" s="202"/>
      <c r="F50" s="202"/>
      <c r="G50" s="202"/>
      <c r="H50" s="204"/>
      <c r="I50" s="202"/>
      <c r="J50" s="202"/>
    </row>
    <row r="51" spans="1:10" x14ac:dyDescent="0.25">
      <c r="A51" s="202"/>
      <c r="B51" s="202"/>
      <c r="C51" s="203"/>
      <c r="D51" s="204"/>
      <c r="E51" s="202"/>
      <c r="F51" s="202"/>
      <c r="G51" s="202"/>
      <c r="H51" s="204"/>
      <c r="I51" s="202"/>
      <c r="J51" s="202"/>
    </row>
    <row r="52" spans="1:10" x14ac:dyDescent="0.25">
      <c r="A52" s="202"/>
      <c r="B52" s="202"/>
      <c r="C52" s="203"/>
      <c r="D52" s="204"/>
      <c r="E52" s="202"/>
      <c r="F52" s="202"/>
      <c r="G52" s="202"/>
      <c r="H52" s="204"/>
      <c r="I52" s="202"/>
      <c r="J52" s="202"/>
    </row>
    <row r="53" spans="1:10" x14ac:dyDescent="0.25">
      <c r="A53" s="202"/>
      <c r="B53" s="202"/>
      <c r="C53" s="203"/>
      <c r="D53" s="204"/>
      <c r="E53" s="202"/>
      <c r="F53" s="202"/>
      <c r="G53" s="202"/>
      <c r="H53" s="204"/>
      <c r="I53" s="202"/>
      <c r="J53" s="202"/>
    </row>
    <row r="54" spans="1:10" x14ac:dyDescent="0.25">
      <c r="A54" s="202"/>
      <c r="B54" s="202"/>
      <c r="C54" s="203"/>
      <c r="D54" s="204"/>
      <c r="E54" s="202"/>
      <c r="F54" s="202"/>
      <c r="G54" s="202"/>
      <c r="H54" s="204"/>
      <c r="I54" s="202"/>
      <c r="J54" s="202"/>
    </row>
    <row r="55" spans="1:10" x14ac:dyDescent="0.25">
      <c r="A55" s="202"/>
      <c r="B55" s="202"/>
      <c r="C55" s="203"/>
      <c r="D55" s="204"/>
      <c r="E55" s="202"/>
      <c r="F55" s="202"/>
      <c r="G55" s="202"/>
      <c r="H55" s="204"/>
      <c r="I55" s="202"/>
      <c r="J55" s="202"/>
    </row>
    <row r="56" spans="1:10" x14ac:dyDescent="0.25">
      <c r="A56" s="202"/>
      <c r="B56" s="202"/>
      <c r="C56" s="203"/>
      <c r="D56" s="204"/>
      <c r="E56" s="202"/>
      <c r="F56" s="202"/>
      <c r="G56" s="202"/>
      <c r="H56" s="204"/>
      <c r="I56" s="202"/>
      <c r="J56" s="202"/>
    </row>
  </sheetData>
  <mergeCells count="13">
    <mergeCell ref="A1:J1"/>
    <mergeCell ref="A43:B43"/>
    <mergeCell ref="A44:B44"/>
    <mergeCell ref="A6:J6"/>
    <mergeCell ref="A7:J7"/>
    <mergeCell ref="A9:A10"/>
    <mergeCell ref="B9:B10"/>
    <mergeCell ref="C9:C10"/>
    <mergeCell ref="D9:D10"/>
    <mergeCell ref="E9:J9"/>
    <mergeCell ref="A37:J37"/>
    <mergeCell ref="F2:J2"/>
    <mergeCell ref="F3:J3"/>
  </mergeCells>
  <phoneticPr fontId="12" type="noConversion"/>
  <pageMargins left="0" right="0" top="1" bottom="1" header="0.5" footer="0.5"/>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O56"/>
  <sheetViews>
    <sheetView zoomScale="87" zoomScaleNormal="87" workbookViewId="0">
      <selection activeCell="A6" sqref="A6:J6"/>
    </sheetView>
  </sheetViews>
  <sheetFormatPr defaultRowHeight="15.75" x14ac:dyDescent="0.25"/>
  <cols>
    <col min="1" max="1" width="4.28515625" style="115" customWidth="1"/>
    <col min="2" max="2" width="17.42578125" style="115" customWidth="1"/>
    <col min="3" max="3" width="12" style="138" customWidth="1"/>
    <col min="4" max="4" width="11" style="139" customWidth="1"/>
    <col min="5" max="5" width="11.140625" style="115" customWidth="1"/>
    <col min="6" max="6" width="10.42578125" style="115" bestFit="1" customWidth="1"/>
    <col min="7" max="7" width="12.85546875" style="115" customWidth="1"/>
    <col min="8" max="8" width="9.5703125" style="139" customWidth="1"/>
    <col min="9" max="9" width="9.85546875" style="115" customWidth="1"/>
    <col min="10" max="10" width="11.5703125" style="115" customWidth="1"/>
    <col min="11" max="11" width="14.5703125" style="115" customWidth="1"/>
    <col min="12" max="16384" width="9.140625" style="115"/>
  </cols>
  <sheetData>
    <row r="1" spans="1:10" ht="17.25" customHeight="1" x14ac:dyDescent="0.3">
      <c r="A1" s="242" t="s">
        <v>39</v>
      </c>
      <c r="B1" s="242"/>
      <c r="C1" s="242"/>
      <c r="D1" s="242"/>
      <c r="E1" s="242"/>
      <c r="F1" s="242"/>
      <c r="G1" s="242"/>
      <c r="H1" s="242"/>
      <c r="I1" s="242"/>
      <c r="J1" s="242"/>
    </row>
    <row r="2" spans="1:10" ht="17.25" customHeight="1" x14ac:dyDescent="0.3">
      <c r="A2" s="206"/>
      <c r="B2" s="206"/>
      <c r="C2" s="206"/>
      <c r="D2" s="206"/>
      <c r="E2" s="206"/>
      <c r="F2" s="206"/>
      <c r="G2" s="206"/>
      <c r="H2" s="206"/>
      <c r="I2" s="206"/>
      <c r="J2" s="206"/>
    </row>
    <row r="3" spans="1:10" x14ac:dyDescent="0.25">
      <c r="A3" s="116" t="s">
        <v>46</v>
      </c>
      <c r="B3" s="116"/>
      <c r="C3" s="117"/>
      <c r="D3" s="118"/>
      <c r="E3" s="116"/>
      <c r="F3" s="254" t="s">
        <v>73</v>
      </c>
      <c r="G3" s="254"/>
      <c r="H3" s="254"/>
      <c r="I3" s="254"/>
      <c r="J3" s="254"/>
    </row>
    <row r="4" spans="1:10" x14ac:dyDescent="0.25">
      <c r="A4" s="116" t="s">
        <v>75</v>
      </c>
      <c r="B4" s="116"/>
      <c r="C4" s="117"/>
      <c r="D4" s="118"/>
      <c r="E4" s="116"/>
      <c r="F4" s="254" t="s">
        <v>74</v>
      </c>
      <c r="G4" s="254"/>
      <c r="H4" s="254"/>
      <c r="I4" s="254"/>
      <c r="J4" s="254"/>
    </row>
    <row r="5" spans="1:10" x14ac:dyDescent="0.25">
      <c r="A5" s="116"/>
      <c r="B5" s="116"/>
      <c r="C5" s="117"/>
      <c r="D5" s="118"/>
      <c r="E5" s="116"/>
      <c r="F5" s="116"/>
      <c r="G5" s="116"/>
      <c r="H5" s="118"/>
      <c r="I5" s="116"/>
      <c r="J5" s="116"/>
    </row>
    <row r="6" spans="1:10" ht="18.75" x14ac:dyDescent="0.3">
      <c r="A6" s="242" t="s">
        <v>66</v>
      </c>
      <c r="B6" s="242"/>
      <c r="C6" s="242"/>
      <c r="D6" s="242"/>
      <c r="E6" s="242"/>
      <c r="F6" s="242"/>
      <c r="G6" s="242"/>
      <c r="H6" s="242"/>
      <c r="I6" s="242"/>
      <c r="J6" s="242"/>
    </row>
    <row r="7" spans="1:10" x14ac:dyDescent="0.25">
      <c r="A7" s="250" t="s">
        <v>76</v>
      </c>
      <c r="B7" s="250"/>
      <c r="C7" s="250"/>
      <c r="D7" s="250"/>
      <c r="E7" s="250"/>
      <c r="F7" s="250"/>
      <c r="G7" s="250"/>
      <c r="H7" s="250"/>
      <c r="I7" s="250"/>
      <c r="J7" s="250"/>
    </row>
    <row r="9" spans="1:10" x14ac:dyDescent="0.25">
      <c r="A9" s="252" t="s">
        <v>4</v>
      </c>
      <c r="B9" s="252" t="s">
        <v>5</v>
      </c>
      <c r="C9" s="252" t="s">
        <v>6</v>
      </c>
      <c r="D9" s="253" t="s">
        <v>7</v>
      </c>
      <c r="E9" s="252" t="s">
        <v>8</v>
      </c>
      <c r="F9" s="252"/>
      <c r="G9" s="252"/>
      <c r="H9" s="252"/>
      <c r="I9" s="252"/>
      <c r="J9" s="252"/>
    </row>
    <row r="10" spans="1:10" ht="99.75" customHeight="1" x14ac:dyDescent="0.25">
      <c r="A10" s="252"/>
      <c r="B10" s="252"/>
      <c r="C10" s="252"/>
      <c r="D10" s="253"/>
      <c r="E10" s="119" t="s">
        <v>9</v>
      </c>
      <c r="F10" s="119" t="s">
        <v>10</v>
      </c>
      <c r="G10" s="119" t="s">
        <v>11</v>
      </c>
      <c r="H10" s="120" t="s">
        <v>12</v>
      </c>
      <c r="I10" s="119" t="s">
        <v>13</v>
      </c>
      <c r="J10" s="119" t="s">
        <v>14</v>
      </c>
    </row>
    <row r="11" spans="1:10" x14ac:dyDescent="0.25">
      <c r="A11" s="119" t="s">
        <v>15</v>
      </c>
      <c r="B11" s="119" t="s">
        <v>16</v>
      </c>
      <c r="C11" s="119" t="s">
        <v>17</v>
      </c>
      <c r="D11" s="120">
        <v>1</v>
      </c>
      <c r="E11" s="119">
        <v>2</v>
      </c>
      <c r="F11" s="119">
        <v>3</v>
      </c>
      <c r="G11" s="119">
        <v>4</v>
      </c>
      <c r="H11" s="120">
        <v>5</v>
      </c>
      <c r="I11" s="119" t="s">
        <v>18</v>
      </c>
      <c r="J11" s="119" t="s">
        <v>19</v>
      </c>
    </row>
    <row r="12" spans="1:10" s="125" customFormat="1" x14ac:dyDescent="0.25">
      <c r="A12" s="121"/>
      <c r="B12" s="121" t="s">
        <v>20</v>
      </c>
      <c r="C12" s="122" t="s">
        <v>21</v>
      </c>
      <c r="D12" s="58">
        <v>1064879</v>
      </c>
      <c r="E12" s="85">
        <f>E13+E14+E15+E16</f>
        <v>475585</v>
      </c>
      <c r="F12" s="85">
        <f>F13+F14+F15+F16</f>
        <v>97967.197999999989</v>
      </c>
      <c r="G12" s="58">
        <f>SUM(G13:G16)</f>
        <v>573552.19800000009</v>
      </c>
      <c r="H12" s="58">
        <f>SUM(H13:H16)</f>
        <v>497606</v>
      </c>
      <c r="I12" s="124">
        <f>G12/H12</f>
        <v>1.1526231556693449</v>
      </c>
      <c r="J12" s="124">
        <f>G12/D12</f>
        <v>0.53860785873324579</v>
      </c>
    </row>
    <row r="13" spans="1:10" x14ac:dyDescent="0.25">
      <c r="A13" s="126"/>
      <c r="B13" s="126" t="s">
        <v>22</v>
      </c>
      <c r="C13" s="127" t="s">
        <v>21</v>
      </c>
      <c r="D13" s="58"/>
      <c r="E13" s="87">
        <f>E20+E27+E31</f>
        <v>89035</v>
      </c>
      <c r="F13" s="87">
        <f>F20+F27+F31</f>
        <v>18341.21</v>
      </c>
      <c r="G13" s="65">
        <f>G20+G27+G31</f>
        <v>107376.21</v>
      </c>
      <c r="H13" s="65">
        <f>H20+H27+H31</f>
        <v>107702</v>
      </c>
      <c r="I13" s="124">
        <f t="shared" ref="I13:I34" si="0">G13/H13</f>
        <v>0.9969750793857125</v>
      </c>
      <c r="J13" s="124"/>
    </row>
    <row r="14" spans="1:10" x14ac:dyDescent="0.25">
      <c r="A14" s="126"/>
      <c r="B14" s="126" t="s">
        <v>23</v>
      </c>
      <c r="C14" s="127" t="s">
        <v>21</v>
      </c>
      <c r="D14" s="58"/>
      <c r="E14" s="87">
        <f>E22+E28+E32</f>
        <v>122866</v>
      </c>
      <c r="F14" s="87">
        <f>F22+F28+F32</f>
        <v>25310.396000000001</v>
      </c>
      <c r="G14" s="65">
        <f>G22+G28+G32</f>
        <v>148176.39600000001</v>
      </c>
      <c r="H14" s="65">
        <f>H22+H28+H32</f>
        <v>134978</v>
      </c>
      <c r="I14" s="124">
        <f t="shared" si="0"/>
        <v>1.0977818311132186</v>
      </c>
      <c r="J14" s="124"/>
    </row>
    <row r="15" spans="1:10" x14ac:dyDescent="0.25">
      <c r="A15" s="126"/>
      <c r="B15" s="126" t="s">
        <v>24</v>
      </c>
      <c r="C15" s="127" t="s">
        <v>21</v>
      </c>
      <c r="D15" s="58"/>
      <c r="E15" s="87">
        <f>E24+E29+E33</f>
        <v>262028</v>
      </c>
      <c r="F15" s="87">
        <f>F24+F29+F33</f>
        <v>53977.767999999996</v>
      </c>
      <c r="G15" s="65">
        <f>G24+G29+G33</f>
        <v>316005.76799999998</v>
      </c>
      <c r="H15" s="65">
        <f>H24+H29+H33</f>
        <v>253065</v>
      </c>
      <c r="I15" s="124">
        <f t="shared" si="0"/>
        <v>1.2487138403177049</v>
      </c>
      <c r="J15" s="124"/>
    </row>
    <row r="16" spans="1:10" x14ac:dyDescent="0.25">
      <c r="A16" s="126"/>
      <c r="B16" s="126" t="s">
        <v>43</v>
      </c>
      <c r="C16" s="127" t="s">
        <v>21</v>
      </c>
      <c r="D16" s="58"/>
      <c r="E16" s="87">
        <v>1656</v>
      </c>
      <c r="F16" s="87">
        <f>E16/5*1.02</f>
        <v>337.82400000000001</v>
      </c>
      <c r="G16" s="65">
        <f>E16+F16</f>
        <v>1993.8240000000001</v>
      </c>
      <c r="H16" s="65">
        <v>1861</v>
      </c>
      <c r="I16" s="124"/>
      <c r="J16" s="124"/>
    </row>
    <row r="17" spans="1:15" x14ac:dyDescent="0.25">
      <c r="A17" s="126"/>
      <c r="B17" s="126" t="s">
        <v>26</v>
      </c>
      <c r="C17" s="127"/>
      <c r="D17" s="189" t="s">
        <v>52</v>
      </c>
      <c r="E17" s="87"/>
      <c r="F17" s="87"/>
      <c r="G17" s="65"/>
      <c r="H17" s="65"/>
      <c r="I17" s="124"/>
      <c r="J17" s="124"/>
    </row>
    <row r="18" spans="1:15" s="131" customFormat="1" x14ac:dyDescent="0.25">
      <c r="A18" s="129">
        <v>1</v>
      </c>
      <c r="B18" s="129" t="s">
        <v>27</v>
      </c>
      <c r="C18" s="130" t="s">
        <v>21</v>
      </c>
      <c r="D18" s="58">
        <v>317261</v>
      </c>
      <c r="E18" s="88">
        <f>E20+E22+E24</f>
        <v>130736</v>
      </c>
      <c r="F18" s="88">
        <f t="shared" ref="E18:H19" si="1">F20+F22+F24</f>
        <v>26931.616000000002</v>
      </c>
      <c r="G18" s="69">
        <f t="shared" si="1"/>
        <v>157667.61600000001</v>
      </c>
      <c r="H18" s="69">
        <f t="shared" si="1"/>
        <v>142955</v>
      </c>
      <c r="I18" s="124">
        <f t="shared" si="0"/>
        <v>1.102917813297891</v>
      </c>
      <c r="J18" s="124"/>
      <c r="K18" s="207">
        <v>117857</v>
      </c>
    </row>
    <row r="19" spans="1:15" ht="15.75" customHeight="1" x14ac:dyDescent="0.25">
      <c r="A19" s="129"/>
      <c r="B19" s="129"/>
      <c r="C19" s="130" t="s">
        <v>28</v>
      </c>
      <c r="D19" s="58">
        <v>32555</v>
      </c>
      <c r="E19" s="88">
        <f t="shared" si="1"/>
        <v>13187</v>
      </c>
      <c r="F19" s="88">
        <f t="shared" si="1"/>
        <v>2716.5219999999999</v>
      </c>
      <c r="G19" s="69">
        <f t="shared" si="1"/>
        <v>15903.522000000001</v>
      </c>
      <c r="H19" s="69">
        <f t="shared" si="1"/>
        <v>14674</v>
      </c>
      <c r="I19" s="124">
        <f t="shared" si="0"/>
        <v>1.083789150879106</v>
      </c>
      <c r="J19" s="124">
        <f>G19/D19</f>
        <v>0.48851242512670867</v>
      </c>
      <c r="K19" s="207">
        <v>12120</v>
      </c>
      <c r="L19" s="140">
        <f>E19/K19</f>
        <v>1.0880363036303631</v>
      </c>
      <c r="M19" s="139"/>
      <c r="O19" s="139"/>
    </row>
    <row r="20" spans="1:15" ht="15.75" customHeight="1" x14ac:dyDescent="0.25">
      <c r="A20" s="126"/>
      <c r="B20" s="126" t="s">
        <v>29</v>
      </c>
      <c r="C20" s="127" t="s">
        <v>30</v>
      </c>
      <c r="D20" s="58"/>
      <c r="E20" s="209">
        <v>42321</v>
      </c>
      <c r="F20" s="209">
        <f t="shared" ref="F20:F25" si="2">E20/5*1.03</f>
        <v>8718.1260000000002</v>
      </c>
      <c r="G20" s="141">
        <f>E20+F20</f>
        <v>51039.126000000004</v>
      </c>
      <c r="H20" s="141">
        <f>47276+128</f>
        <v>47404</v>
      </c>
      <c r="I20" s="124"/>
      <c r="J20" s="124"/>
      <c r="K20" s="207">
        <v>39273</v>
      </c>
      <c r="L20" s="139"/>
      <c r="M20" s="139"/>
    </row>
    <row r="21" spans="1:15" ht="15.75" customHeight="1" x14ac:dyDescent="0.25">
      <c r="A21" s="126"/>
      <c r="B21" s="126"/>
      <c r="C21" s="127" t="s">
        <v>28</v>
      </c>
      <c r="D21" s="58"/>
      <c r="E21" s="209">
        <v>4073</v>
      </c>
      <c r="F21" s="209">
        <f t="shared" si="2"/>
        <v>839.03800000000001</v>
      </c>
      <c r="G21" s="141">
        <f t="shared" ref="G21:G25" si="3">E21+F21</f>
        <v>4912.0380000000005</v>
      </c>
      <c r="H21" s="141">
        <f>4590+12</f>
        <v>4602</v>
      </c>
      <c r="I21" s="124"/>
      <c r="J21" s="124"/>
      <c r="K21" s="207">
        <v>3785</v>
      </c>
      <c r="L21" s="208">
        <f>E21/K21</f>
        <v>1.0760898282694848</v>
      </c>
      <c r="M21" s="140"/>
    </row>
    <row r="22" spans="1:15" x14ac:dyDescent="0.25">
      <c r="A22" s="126"/>
      <c r="B22" s="126" t="s">
        <v>31</v>
      </c>
      <c r="C22" s="127" t="s">
        <v>30</v>
      </c>
      <c r="D22" s="58"/>
      <c r="E22" s="209">
        <v>43080</v>
      </c>
      <c r="F22" s="209">
        <f t="shared" si="2"/>
        <v>8874.48</v>
      </c>
      <c r="G22" s="141">
        <f t="shared" si="3"/>
        <v>51954.479999999996</v>
      </c>
      <c r="H22" s="141">
        <f>47600+168</f>
        <v>47768</v>
      </c>
      <c r="I22" s="124"/>
      <c r="J22" s="124"/>
      <c r="K22" s="207">
        <v>39193</v>
      </c>
      <c r="L22" s="208"/>
    </row>
    <row r="23" spans="1:15" x14ac:dyDescent="0.25">
      <c r="A23" s="126"/>
      <c r="B23" s="126"/>
      <c r="C23" s="127" t="s">
        <v>28</v>
      </c>
      <c r="D23" s="58"/>
      <c r="E23" s="209">
        <v>4303</v>
      </c>
      <c r="F23" s="209">
        <f t="shared" si="2"/>
        <v>886.41800000000001</v>
      </c>
      <c r="G23" s="141">
        <f t="shared" si="3"/>
        <v>5189.4179999999997</v>
      </c>
      <c r="H23" s="141">
        <f>4587+16</f>
        <v>4603</v>
      </c>
      <c r="I23" s="124"/>
      <c r="J23" s="124"/>
      <c r="K23" s="207">
        <v>3806</v>
      </c>
      <c r="L23" s="208">
        <f>E23/K23</f>
        <v>1.1305832895428272</v>
      </c>
    </row>
    <row r="24" spans="1:15" x14ac:dyDescent="0.25">
      <c r="A24" s="126"/>
      <c r="B24" s="126" t="s">
        <v>32</v>
      </c>
      <c r="C24" s="127" t="s">
        <v>30</v>
      </c>
      <c r="D24" s="58"/>
      <c r="E24" s="209">
        <v>45335</v>
      </c>
      <c r="F24" s="209">
        <f t="shared" si="2"/>
        <v>9339.01</v>
      </c>
      <c r="G24" s="141">
        <f t="shared" si="3"/>
        <v>54674.01</v>
      </c>
      <c r="H24" s="141">
        <f>46723+1060</f>
        <v>47783</v>
      </c>
      <c r="I24" s="124"/>
      <c r="J24" s="124"/>
      <c r="K24" s="207">
        <v>3939</v>
      </c>
      <c r="L24" s="208"/>
    </row>
    <row r="25" spans="1:15" x14ac:dyDescent="0.25">
      <c r="A25" s="126"/>
      <c r="B25" s="126"/>
      <c r="C25" s="127" t="s">
        <v>28</v>
      </c>
      <c r="D25" s="58"/>
      <c r="E25" s="209">
        <v>4811</v>
      </c>
      <c r="F25" s="209">
        <f t="shared" si="2"/>
        <v>991.06600000000003</v>
      </c>
      <c r="G25" s="141">
        <f t="shared" si="3"/>
        <v>5802.0659999999998</v>
      </c>
      <c r="H25" s="141">
        <f>5208+261</f>
        <v>5469</v>
      </c>
      <c r="I25" s="124"/>
      <c r="J25" s="124"/>
      <c r="K25" s="207">
        <v>4530</v>
      </c>
      <c r="L25" s="208">
        <f>E25/K25</f>
        <v>1.0620309050772627</v>
      </c>
    </row>
    <row r="26" spans="1:15" s="131" customFormat="1" x14ac:dyDescent="0.25">
      <c r="A26" s="129">
        <v>2</v>
      </c>
      <c r="B26" s="129" t="s">
        <v>33</v>
      </c>
      <c r="C26" s="130" t="s">
        <v>21</v>
      </c>
      <c r="D26" s="58">
        <v>90487</v>
      </c>
      <c r="E26" s="88">
        <f>E27+E28+E29</f>
        <v>37380</v>
      </c>
      <c r="F26" s="88">
        <f>F27+F28+F29</f>
        <v>7700.2800000000007</v>
      </c>
      <c r="G26" s="69">
        <f>G27+G28+G29</f>
        <v>45080.28</v>
      </c>
      <c r="H26" s="69">
        <f>H27+H28+H29</f>
        <v>42455</v>
      </c>
      <c r="I26" s="124">
        <f t="shared" si="0"/>
        <v>1.0618367683429513</v>
      </c>
      <c r="J26" s="132">
        <f>G26/D26</f>
        <v>0.49819620497972084</v>
      </c>
    </row>
    <row r="27" spans="1:15" x14ac:dyDescent="0.25">
      <c r="A27" s="126"/>
      <c r="B27" s="126" t="s">
        <v>29</v>
      </c>
      <c r="C27" s="127" t="s">
        <v>21</v>
      </c>
      <c r="D27" s="58"/>
      <c r="E27" s="209">
        <v>1784</v>
      </c>
      <c r="F27" s="209">
        <f>E27/5*1.03</f>
        <v>367.50400000000002</v>
      </c>
      <c r="G27" s="141">
        <f>E27+F27</f>
        <v>2151.5039999999999</v>
      </c>
      <c r="H27" s="141">
        <f>2451+0</f>
        <v>2451</v>
      </c>
      <c r="I27" s="124"/>
      <c r="J27" s="124"/>
    </row>
    <row r="28" spans="1:15" x14ac:dyDescent="0.25">
      <c r="A28" s="126"/>
      <c r="B28" s="126" t="s">
        <v>34</v>
      </c>
      <c r="C28" s="127" t="s">
        <v>21</v>
      </c>
      <c r="D28" s="58"/>
      <c r="E28" s="209">
        <v>14229</v>
      </c>
      <c r="F28" s="209">
        <f>E28/5*1.03</f>
        <v>2931.1740000000004</v>
      </c>
      <c r="G28" s="141">
        <f t="shared" ref="G28:G29" si="4">E28+F28</f>
        <v>17160.173999999999</v>
      </c>
      <c r="H28" s="141">
        <f>16864+70</f>
        <v>16934</v>
      </c>
      <c r="I28" s="124"/>
      <c r="J28" s="124"/>
    </row>
    <row r="29" spans="1:15" ht="15.75" customHeight="1" x14ac:dyDescent="0.25">
      <c r="A29" s="126"/>
      <c r="B29" s="126" t="s">
        <v>32</v>
      </c>
      <c r="C29" s="127" t="s">
        <v>21</v>
      </c>
      <c r="D29" s="58"/>
      <c r="E29" s="209">
        <v>21367</v>
      </c>
      <c r="F29" s="209">
        <f>E29/5*1.03</f>
        <v>4401.6019999999999</v>
      </c>
      <c r="G29" s="141">
        <f t="shared" si="4"/>
        <v>25768.601999999999</v>
      </c>
      <c r="H29" s="141">
        <f>22459+611</f>
        <v>23070</v>
      </c>
      <c r="I29" s="124"/>
      <c r="J29" s="124"/>
    </row>
    <row r="30" spans="1:15" s="131" customFormat="1" x14ac:dyDescent="0.25">
      <c r="A30" s="129">
        <v>3</v>
      </c>
      <c r="B30" s="129" t="s">
        <v>35</v>
      </c>
      <c r="C30" s="130" t="s">
        <v>21</v>
      </c>
      <c r="D30" s="58">
        <v>651947</v>
      </c>
      <c r="E30" s="88">
        <f>E31+E32+E33</f>
        <v>305813</v>
      </c>
      <c r="F30" s="88">
        <f>F31+F32+F33</f>
        <v>62997.477999999996</v>
      </c>
      <c r="G30" s="69">
        <f>G31+G32+G33</f>
        <v>368810.478</v>
      </c>
      <c r="H30" s="69">
        <f>H31+H32+H33</f>
        <v>310335</v>
      </c>
      <c r="I30" s="124">
        <f t="shared" si="0"/>
        <v>1.1884269515201316</v>
      </c>
      <c r="J30" s="132">
        <f>G30/D30</f>
        <v>0.56570622765347489</v>
      </c>
    </row>
    <row r="31" spans="1:15" x14ac:dyDescent="0.25">
      <c r="A31" s="126"/>
      <c r="B31" s="126" t="s">
        <v>29</v>
      </c>
      <c r="C31" s="127" t="s">
        <v>21</v>
      </c>
      <c r="D31" s="58"/>
      <c r="E31" s="209">
        <v>44930</v>
      </c>
      <c r="F31" s="209">
        <f>E31/5*1.03</f>
        <v>9255.58</v>
      </c>
      <c r="G31" s="141">
        <f>E31+F31</f>
        <v>54185.58</v>
      </c>
      <c r="H31" s="141">
        <f>51040+6807</f>
        <v>57847</v>
      </c>
      <c r="I31" s="124"/>
      <c r="J31" s="124"/>
    </row>
    <row r="32" spans="1:15" x14ac:dyDescent="0.25">
      <c r="A32" s="126"/>
      <c r="B32" s="126" t="s">
        <v>34</v>
      </c>
      <c r="C32" s="127" t="s">
        <v>21</v>
      </c>
      <c r="D32" s="58"/>
      <c r="E32" s="209">
        <v>65557</v>
      </c>
      <c r="F32" s="209">
        <f>E32/5*1.03</f>
        <v>13504.742</v>
      </c>
      <c r="G32" s="141">
        <f t="shared" ref="G32:G34" si="5">E32+F32</f>
        <v>79061.741999999998</v>
      </c>
      <c r="H32" s="141">
        <f>67794+2482</f>
        <v>70276</v>
      </c>
      <c r="I32" s="124"/>
      <c r="J32" s="124"/>
    </row>
    <row r="33" spans="1:10" ht="15.75" customHeight="1" x14ac:dyDescent="0.25">
      <c r="A33" s="126"/>
      <c r="B33" s="126" t="s">
        <v>32</v>
      </c>
      <c r="C33" s="127" t="s">
        <v>21</v>
      </c>
      <c r="D33" s="58"/>
      <c r="E33" s="209">
        <v>195326</v>
      </c>
      <c r="F33" s="209">
        <f>E33/5*1.03</f>
        <v>40237.155999999995</v>
      </c>
      <c r="G33" s="141">
        <f t="shared" si="5"/>
        <v>235563.15599999999</v>
      </c>
      <c r="H33" s="141">
        <f>122428+59784</f>
        <v>182212</v>
      </c>
      <c r="I33" s="124"/>
      <c r="J33" s="124"/>
    </row>
    <row r="34" spans="1:10" s="131" customFormat="1" x14ac:dyDescent="0.25">
      <c r="A34" s="129">
        <v>4</v>
      </c>
      <c r="B34" s="129" t="s">
        <v>25</v>
      </c>
      <c r="C34" s="130" t="s">
        <v>21</v>
      </c>
      <c r="D34" s="58">
        <v>89834</v>
      </c>
      <c r="E34" s="210">
        <v>46249</v>
      </c>
      <c r="F34" s="211">
        <f>E34/5*1.03</f>
        <v>9527.2939999999999</v>
      </c>
      <c r="G34" s="212">
        <f t="shared" si="5"/>
        <v>55776.294000000002</v>
      </c>
      <c r="H34" s="133">
        <v>44874</v>
      </c>
      <c r="I34" s="124">
        <f t="shared" si="0"/>
        <v>1.2429534697152027</v>
      </c>
      <c r="J34" s="132">
        <f>G34/D34</f>
        <v>0.62088178195338073</v>
      </c>
    </row>
    <row r="35" spans="1:10" x14ac:dyDescent="0.25">
      <c r="A35" s="126"/>
      <c r="B35" s="126"/>
      <c r="C35" s="127"/>
      <c r="D35" s="64"/>
      <c r="E35" s="126"/>
      <c r="F35" s="126"/>
      <c r="G35" s="126"/>
      <c r="H35" s="87"/>
      <c r="I35" s="134"/>
      <c r="J35" s="134"/>
    </row>
    <row r="36" spans="1:10" x14ac:dyDescent="0.25">
      <c r="A36" s="135"/>
      <c r="B36" s="135"/>
      <c r="C36" s="136"/>
      <c r="D36" s="137"/>
      <c r="E36" s="135"/>
      <c r="F36" s="135"/>
      <c r="G36" s="135"/>
      <c r="H36" s="137"/>
      <c r="I36" s="135"/>
      <c r="J36" s="135"/>
    </row>
    <row r="37" spans="1:10" ht="33" customHeight="1" x14ac:dyDescent="0.25">
      <c r="A37" s="255" t="s">
        <v>48</v>
      </c>
      <c r="B37" s="256"/>
      <c r="C37" s="256"/>
      <c r="D37" s="256"/>
      <c r="E37" s="256"/>
      <c r="F37" s="256"/>
      <c r="G37" s="256"/>
      <c r="H37" s="256"/>
      <c r="I37" s="256"/>
      <c r="J37" s="256"/>
    </row>
    <row r="38" spans="1:10" ht="16.5" customHeight="1" x14ac:dyDescent="0.25">
      <c r="A38" s="79"/>
      <c r="B38" s="79"/>
      <c r="C38" s="136"/>
      <c r="D38" s="137"/>
      <c r="E38" s="135"/>
      <c r="F38" s="135"/>
      <c r="G38" s="135"/>
      <c r="H38" s="137"/>
      <c r="I38" s="135"/>
      <c r="J38" s="135"/>
    </row>
    <row r="39" spans="1:10" x14ac:dyDescent="0.25">
      <c r="A39" s="79"/>
      <c r="B39" s="79"/>
      <c r="C39" s="136"/>
      <c r="D39" s="137"/>
      <c r="E39" s="135"/>
      <c r="F39" s="135"/>
      <c r="G39" s="135"/>
      <c r="H39" s="137"/>
      <c r="I39" s="135"/>
      <c r="J39" s="135"/>
    </row>
    <row r="40" spans="1:10" x14ac:dyDescent="0.25">
      <c r="A40" s="79"/>
      <c r="B40" s="79"/>
      <c r="C40" s="136"/>
      <c r="D40" s="137"/>
      <c r="E40" s="135"/>
      <c r="F40" s="135"/>
      <c r="G40" s="135"/>
      <c r="H40" s="137"/>
      <c r="I40" s="135"/>
      <c r="J40" s="135"/>
    </row>
    <row r="41" spans="1:10" x14ac:dyDescent="0.25">
      <c r="A41" s="79"/>
      <c r="B41" s="79"/>
      <c r="C41" s="136"/>
      <c r="D41" s="137"/>
      <c r="E41" s="135"/>
      <c r="F41" s="135"/>
      <c r="G41" s="135"/>
      <c r="H41" s="137"/>
      <c r="I41" s="135"/>
      <c r="J41" s="135"/>
    </row>
    <row r="42" spans="1:10" x14ac:dyDescent="0.25">
      <c r="A42" s="79"/>
      <c r="B42" s="79"/>
      <c r="C42" s="136"/>
      <c r="D42" s="137"/>
      <c r="E42" s="135"/>
      <c r="F42" s="135"/>
      <c r="G42" s="135"/>
      <c r="H42" s="137"/>
      <c r="I42" s="135"/>
      <c r="J42" s="135"/>
    </row>
    <row r="43" spans="1:10" x14ac:dyDescent="0.25">
      <c r="A43" s="246"/>
      <c r="B43" s="246"/>
      <c r="C43" s="136"/>
      <c r="D43" s="137"/>
      <c r="E43" s="135"/>
      <c r="F43" s="135"/>
      <c r="G43" s="135"/>
      <c r="H43" s="137"/>
      <c r="I43" s="135"/>
      <c r="J43" s="135"/>
    </row>
    <row r="44" spans="1:10" x14ac:dyDescent="0.25">
      <c r="A44" s="241"/>
      <c r="B44" s="241"/>
      <c r="C44" s="136"/>
      <c r="D44" s="137"/>
      <c r="E44" s="135"/>
      <c r="F44" s="135"/>
      <c r="G44" s="135"/>
      <c r="H44" s="137"/>
      <c r="I44" s="135"/>
      <c r="J44" s="135"/>
    </row>
    <row r="45" spans="1:10" x14ac:dyDescent="0.25">
      <c r="A45" s="135"/>
      <c r="B45" s="135"/>
      <c r="C45" s="136"/>
      <c r="D45" s="137"/>
      <c r="E45" s="135"/>
      <c r="F45" s="135"/>
      <c r="G45" s="135"/>
      <c r="H45" s="137"/>
      <c r="I45" s="135"/>
      <c r="J45" s="135"/>
    </row>
    <row r="46" spans="1:10" x14ac:dyDescent="0.25">
      <c r="A46" s="135"/>
      <c r="B46" s="135"/>
      <c r="C46" s="136"/>
      <c r="D46" s="137"/>
      <c r="E46" s="135"/>
      <c r="F46" s="135"/>
      <c r="G46" s="135"/>
      <c r="H46" s="137"/>
      <c r="I46" s="135"/>
      <c r="J46" s="135"/>
    </row>
    <row r="47" spans="1:10" x14ac:dyDescent="0.25">
      <c r="A47" s="135"/>
      <c r="B47" s="135"/>
      <c r="C47" s="136"/>
      <c r="D47" s="137"/>
      <c r="E47" s="135"/>
      <c r="F47" s="135"/>
      <c r="G47" s="135"/>
      <c r="H47" s="137"/>
      <c r="I47" s="135"/>
      <c r="J47" s="135"/>
    </row>
    <row r="48" spans="1:10" x14ac:dyDescent="0.25">
      <c r="A48" s="135"/>
      <c r="B48" s="135"/>
      <c r="C48" s="136"/>
      <c r="D48" s="137"/>
      <c r="E48" s="135"/>
      <c r="F48" s="135"/>
      <c r="G48" s="135"/>
      <c r="H48" s="137"/>
      <c r="I48" s="135"/>
      <c r="J48" s="135"/>
    </row>
    <row r="49" spans="1:10" x14ac:dyDescent="0.25">
      <c r="A49" s="135"/>
      <c r="B49" s="135"/>
      <c r="C49" s="136"/>
      <c r="D49" s="137"/>
      <c r="E49" s="135"/>
      <c r="F49" s="135"/>
      <c r="G49" s="135"/>
      <c r="H49" s="137"/>
      <c r="I49" s="135"/>
      <c r="J49" s="135"/>
    </row>
    <row r="50" spans="1:10" x14ac:dyDescent="0.25">
      <c r="A50" s="135"/>
      <c r="B50" s="135"/>
      <c r="C50" s="136"/>
      <c r="D50" s="137"/>
      <c r="E50" s="135"/>
      <c r="F50" s="135"/>
      <c r="G50" s="135"/>
      <c r="H50" s="137"/>
      <c r="I50" s="135"/>
      <c r="J50" s="135"/>
    </row>
    <row r="51" spans="1:10" x14ac:dyDescent="0.25">
      <c r="A51" s="135"/>
      <c r="B51" s="135"/>
      <c r="C51" s="136"/>
      <c r="D51" s="137"/>
      <c r="E51" s="135"/>
      <c r="F51" s="135"/>
      <c r="G51" s="135"/>
      <c r="H51" s="137"/>
      <c r="I51" s="135"/>
      <c r="J51" s="135"/>
    </row>
    <row r="52" spans="1:10" x14ac:dyDescent="0.25">
      <c r="A52" s="135"/>
      <c r="B52" s="135"/>
      <c r="C52" s="136"/>
      <c r="D52" s="137"/>
      <c r="E52" s="135"/>
      <c r="F52" s="135"/>
      <c r="G52" s="135"/>
      <c r="H52" s="137"/>
      <c r="I52" s="135"/>
      <c r="J52" s="135"/>
    </row>
    <row r="53" spans="1:10" x14ac:dyDescent="0.25">
      <c r="A53" s="135"/>
      <c r="B53" s="135"/>
      <c r="C53" s="136"/>
      <c r="D53" s="137"/>
      <c r="E53" s="135"/>
      <c r="F53" s="135"/>
      <c r="G53" s="135"/>
      <c r="H53" s="137"/>
      <c r="I53" s="135"/>
      <c r="J53" s="135"/>
    </row>
    <row r="54" spans="1:10" x14ac:dyDescent="0.25">
      <c r="A54" s="135"/>
      <c r="B54" s="135"/>
      <c r="C54" s="136"/>
      <c r="D54" s="137"/>
      <c r="E54" s="135"/>
      <c r="F54" s="135"/>
      <c r="G54" s="135"/>
      <c r="H54" s="137"/>
      <c r="I54" s="135"/>
      <c r="J54" s="135"/>
    </row>
    <row r="55" spans="1:10" x14ac:dyDescent="0.25">
      <c r="A55" s="135"/>
      <c r="B55" s="135"/>
      <c r="C55" s="136"/>
      <c r="D55" s="137"/>
      <c r="E55" s="135"/>
      <c r="F55" s="135"/>
      <c r="G55" s="135"/>
      <c r="H55" s="137"/>
      <c r="I55" s="135"/>
      <c r="J55" s="135"/>
    </row>
    <row r="56" spans="1:10" x14ac:dyDescent="0.25">
      <c r="A56" s="135"/>
      <c r="B56" s="135"/>
      <c r="C56" s="136"/>
      <c r="D56" s="137"/>
      <c r="E56" s="135"/>
      <c r="F56" s="135"/>
      <c r="G56" s="135"/>
      <c r="H56" s="137"/>
      <c r="I56" s="135"/>
      <c r="J56" s="135"/>
    </row>
  </sheetData>
  <mergeCells count="13">
    <mergeCell ref="A1:J1"/>
    <mergeCell ref="A43:B43"/>
    <mergeCell ref="A44:B44"/>
    <mergeCell ref="A6:J6"/>
    <mergeCell ref="A7:J7"/>
    <mergeCell ref="A9:A10"/>
    <mergeCell ref="B9:B10"/>
    <mergeCell ref="C9:C10"/>
    <mergeCell ref="D9:D10"/>
    <mergeCell ref="E9:J9"/>
    <mergeCell ref="A37:J37"/>
    <mergeCell ref="F3:J3"/>
    <mergeCell ref="F4:J4"/>
  </mergeCells>
  <phoneticPr fontId="12" type="noConversion"/>
  <pageMargins left="0.5" right="0.5" top="0.5" bottom="0.5" header="0.5" footer="0.5"/>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N56"/>
  <sheetViews>
    <sheetView topLeftCell="A9" zoomScale="90" zoomScaleNormal="90" workbookViewId="0">
      <selection activeCell="H14" sqref="H14"/>
    </sheetView>
  </sheetViews>
  <sheetFormatPr defaultRowHeight="15" x14ac:dyDescent="0.25"/>
  <cols>
    <col min="1" max="1" width="4.28515625" style="47" customWidth="1"/>
    <col min="2" max="2" width="16.140625" style="47" customWidth="1"/>
    <col min="3" max="3" width="10.28515625" style="80" bestFit="1" customWidth="1"/>
    <col min="4" max="4" width="10.7109375" style="48" customWidth="1"/>
    <col min="5" max="5" width="9.5703125" style="47" customWidth="1"/>
    <col min="6" max="6" width="9.140625" style="47"/>
    <col min="7" max="7" width="9" style="47" customWidth="1"/>
    <col min="8" max="8" width="8.7109375" style="48" customWidth="1"/>
    <col min="9" max="10" width="8.85546875" style="47" customWidth="1"/>
    <col min="11" max="11" width="11.140625" style="48" bestFit="1" customWidth="1"/>
    <col min="12" max="12" width="12.140625" style="47" customWidth="1"/>
    <col min="13" max="13" width="11" style="47" bestFit="1" customWidth="1"/>
    <col min="14" max="16384" width="9.140625" style="47"/>
  </cols>
  <sheetData>
    <row r="1" spans="1:13" ht="18.75" x14ac:dyDescent="0.3">
      <c r="A1" s="242" t="s">
        <v>36</v>
      </c>
      <c r="B1" s="242"/>
      <c r="C1" s="242"/>
      <c r="D1" s="242"/>
      <c r="E1" s="242"/>
      <c r="F1" s="242"/>
      <c r="G1" s="242"/>
      <c r="H1" s="242"/>
      <c r="I1" s="242"/>
      <c r="J1" s="242"/>
    </row>
    <row r="2" spans="1:13" ht="15.75" x14ac:dyDescent="0.25">
      <c r="A2" s="49" t="s">
        <v>0</v>
      </c>
      <c r="B2" s="49"/>
      <c r="C2" s="50"/>
      <c r="D2" s="51"/>
      <c r="E2" s="49"/>
      <c r="F2" s="49"/>
      <c r="G2" s="116" t="s">
        <v>73</v>
      </c>
      <c r="H2" s="116"/>
      <c r="I2" s="116"/>
      <c r="J2" s="116"/>
      <c r="K2" s="116"/>
    </row>
    <row r="3" spans="1:13" ht="15.75" x14ac:dyDescent="0.25">
      <c r="A3" s="49" t="s">
        <v>78</v>
      </c>
      <c r="B3" s="49"/>
      <c r="C3" s="50"/>
      <c r="D3" s="51"/>
      <c r="E3" s="49"/>
      <c r="F3" s="49"/>
      <c r="G3" s="116" t="s">
        <v>74</v>
      </c>
      <c r="H3" s="116"/>
      <c r="I3" s="116"/>
      <c r="J3" s="116"/>
      <c r="K3" s="116"/>
    </row>
    <row r="4" spans="1:13" x14ac:dyDescent="0.25">
      <c r="A4" s="49"/>
      <c r="B4" s="49"/>
      <c r="C4" s="50"/>
      <c r="D4" s="51"/>
      <c r="E4" s="49"/>
      <c r="F4" s="49"/>
      <c r="G4" s="49"/>
      <c r="H4" s="51"/>
      <c r="I4" s="49"/>
      <c r="J4" s="49"/>
    </row>
    <row r="6" spans="1:13" ht="16.5" x14ac:dyDescent="0.25">
      <c r="A6" s="243" t="s">
        <v>3</v>
      </c>
      <c r="B6" s="243"/>
      <c r="C6" s="243"/>
      <c r="D6" s="243"/>
      <c r="E6" s="243"/>
      <c r="F6" s="243"/>
      <c r="G6" s="243"/>
      <c r="H6" s="243"/>
      <c r="I6" s="243"/>
      <c r="J6" s="243"/>
    </row>
    <row r="7" spans="1:13" ht="16.5" x14ac:dyDescent="0.25">
      <c r="A7" s="243" t="s">
        <v>77</v>
      </c>
      <c r="B7" s="243"/>
      <c r="C7" s="243"/>
      <c r="D7" s="243"/>
      <c r="E7" s="243"/>
      <c r="F7" s="243"/>
      <c r="G7" s="243"/>
      <c r="H7" s="243"/>
      <c r="I7" s="243"/>
      <c r="J7" s="243"/>
    </row>
    <row r="9" spans="1:13" x14ac:dyDescent="0.25">
      <c r="A9" s="244" t="s">
        <v>4</v>
      </c>
      <c r="B9" s="244" t="s">
        <v>5</v>
      </c>
      <c r="C9" s="244" t="s">
        <v>6</v>
      </c>
      <c r="D9" s="245" t="s">
        <v>7</v>
      </c>
      <c r="E9" s="244" t="s">
        <v>8</v>
      </c>
      <c r="F9" s="244"/>
      <c r="G9" s="244"/>
      <c r="H9" s="244"/>
      <c r="I9" s="244"/>
      <c r="J9" s="244"/>
    </row>
    <row r="10" spans="1:13" ht="85.5" x14ac:dyDescent="0.25">
      <c r="A10" s="244"/>
      <c r="B10" s="244"/>
      <c r="C10" s="244"/>
      <c r="D10" s="245"/>
      <c r="E10" s="53" t="s">
        <v>9</v>
      </c>
      <c r="F10" s="53" t="s">
        <v>10</v>
      </c>
      <c r="G10" s="53" t="s">
        <v>11</v>
      </c>
      <c r="H10" s="54" t="s">
        <v>12</v>
      </c>
      <c r="I10" s="53" t="s">
        <v>13</v>
      </c>
      <c r="J10" s="53" t="s">
        <v>14</v>
      </c>
    </row>
    <row r="11" spans="1:13" ht="15.75" thickBot="1" x14ac:dyDescent="0.3">
      <c r="A11" s="53" t="s">
        <v>15</v>
      </c>
      <c r="B11" s="53" t="s">
        <v>16</v>
      </c>
      <c r="C11" s="53" t="s">
        <v>17</v>
      </c>
      <c r="D11" s="54">
        <v>1</v>
      </c>
      <c r="E11" s="53">
        <v>2</v>
      </c>
      <c r="F11" s="53">
        <v>3</v>
      </c>
      <c r="G11" s="53">
        <v>4</v>
      </c>
      <c r="H11" s="54">
        <v>5</v>
      </c>
      <c r="I11" s="53" t="s">
        <v>18</v>
      </c>
      <c r="J11" s="53" t="s">
        <v>19</v>
      </c>
    </row>
    <row r="12" spans="1:13" s="61" customFormat="1" ht="16.5" thickBot="1" x14ac:dyDescent="0.3">
      <c r="A12" s="55"/>
      <c r="B12" s="55" t="s">
        <v>20</v>
      </c>
      <c r="C12" s="56" t="s">
        <v>21</v>
      </c>
      <c r="D12" s="58">
        <v>1064879</v>
      </c>
      <c r="E12" s="58">
        <f>SUM(E13:E16)</f>
        <v>575254</v>
      </c>
      <c r="F12" s="58">
        <f>SUM(F13:F16)</f>
        <v>95875.666666666657</v>
      </c>
      <c r="G12" s="58">
        <f>SUM(G13:G16)</f>
        <v>671129.66666666663</v>
      </c>
      <c r="H12" s="58">
        <f>H13+H14+H15+H16</f>
        <v>580876</v>
      </c>
      <c r="I12" s="60">
        <f>G12/H12</f>
        <v>1.1553751001361161</v>
      </c>
      <c r="J12" s="60">
        <f>G12/D12</f>
        <v>0.6302403058626066</v>
      </c>
      <c r="K12" s="59">
        <f>K13+K14+K15+K16</f>
        <v>499065</v>
      </c>
      <c r="L12" s="213">
        <v>81810.05</v>
      </c>
      <c r="M12" s="220">
        <f>K12+L12</f>
        <v>580875.05000000005</v>
      </c>
    </row>
    <row r="13" spans="1:13" ht="16.5" thickBot="1" x14ac:dyDescent="0.3">
      <c r="A13" s="62"/>
      <c r="B13" s="62" t="s">
        <v>22</v>
      </c>
      <c r="C13" s="63" t="s">
        <v>21</v>
      </c>
      <c r="D13" s="58"/>
      <c r="E13" s="65">
        <f>E20+E27+E31</f>
        <v>106638</v>
      </c>
      <c r="F13" s="64">
        <f>F20+F27+F31</f>
        <v>17773</v>
      </c>
      <c r="G13" s="64">
        <f>G20+G27+G31</f>
        <v>124411</v>
      </c>
      <c r="H13" s="64">
        <f>H20+H27+H31</f>
        <v>124938</v>
      </c>
      <c r="I13" s="60">
        <f t="shared" ref="I13:I15" si="0">G13/H13</f>
        <v>0.99578190782628184</v>
      </c>
      <c r="J13" s="60"/>
      <c r="K13" s="64">
        <f>K20+K27+K31</f>
        <v>117019</v>
      </c>
      <c r="L13" s="214">
        <v>7918.6</v>
      </c>
      <c r="M13" s="220">
        <f t="shared" ref="M13:M35" si="1">K13+L13</f>
        <v>124937.60000000001</v>
      </c>
    </row>
    <row r="14" spans="1:13" ht="16.5" thickBot="1" x14ac:dyDescent="0.3">
      <c r="A14" s="62"/>
      <c r="B14" s="62" t="s">
        <v>23</v>
      </c>
      <c r="C14" s="63" t="s">
        <v>21</v>
      </c>
      <c r="D14" s="58"/>
      <c r="E14" s="65">
        <f>E22+E28+E32</f>
        <v>148629</v>
      </c>
      <c r="F14" s="64">
        <f>F22+F28+F32</f>
        <v>24771.5</v>
      </c>
      <c r="G14" s="64">
        <f>G22+G28+G32</f>
        <v>173400.5</v>
      </c>
      <c r="H14" s="64">
        <f>H22+H28+H32</f>
        <v>158052</v>
      </c>
      <c r="I14" s="60">
        <f t="shared" si="0"/>
        <v>1.0971104446637816</v>
      </c>
      <c r="J14" s="60"/>
      <c r="K14" s="64">
        <f>K22+K28+K32</f>
        <v>154866</v>
      </c>
      <c r="L14" s="214">
        <v>3185.8</v>
      </c>
      <c r="M14" s="220">
        <f t="shared" si="1"/>
        <v>158051.79999999999</v>
      </c>
    </row>
    <row r="15" spans="1:13" ht="16.5" thickBot="1" x14ac:dyDescent="0.3">
      <c r="A15" s="62"/>
      <c r="B15" s="62" t="s">
        <v>24</v>
      </c>
      <c r="C15" s="63" t="s">
        <v>21</v>
      </c>
      <c r="D15" s="58"/>
      <c r="E15" s="65">
        <f>E24+E29+E33</f>
        <v>317809</v>
      </c>
      <c r="F15" s="64">
        <f>F24+F29+F33</f>
        <v>52968.166666666664</v>
      </c>
      <c r="G15" s="64">
        <f>G24+G29+G33</f>
        <v>370777.16666666663</v>
      </c>
      <c r="H15" s="64">
        <f>H24+H29+H33</f>
        <v>295326</v>
      </c>
      <c r="I15" s="60">
        <f t="shared" si="0"/>
        <v>1.2554843348254696</v>
      </c>
      <c r="J15" s="60"/>
      <c r="K15" s="64">
        <f>K24+K29+K33</f>
        <v>224620</v>
      </c>
      <c r="L15" s="214">
        <v>70705.7</v>
      </c>
      <c r="M15" s="220">
        <f t="shared" si="1"/>
        <v>295325.7</v>
      </c>
    </row>
    <row r="16" spans="1:13" ht="16.5" thickBot="1" x14ac:dyDescent="0.3">
      <c r="A16" s="62"/>
      <c r="B16" s="62" t="s">
        <v>43</v>
      </c>
      <c r="C16" s="63" t="s">
        <v>21</v>
      </c>
      <c r="D16" s="58"/>
      <c r="E16" s="65">
        <v>2178</v>
      </c>
      <c r="F16" s="64">
        <f>E16/6</f>
        <v>363</v>
      </c>
      <c r="G16" s="64">
        <f>F16+E16</f>
        <v>2541</v>
      </c>
      <c r="H16" s="64">
        <v>2560</v>
      </c>
      <c r="I16" s="60"/>
      <c r="J16" s="60"/>
      <c r="K16" s="64">
        <v>2560</v>
      </c>
      <c r="L16" s="214">
        <v>0</v>
      </c>
      <c r="M16" s="220">
        <f t="shared" si="1"/>
        <v>2560</v>
      </c>
    </row>
    <row r="17" spans="1:14" ht="16.5" thickBot="1" x14ac:dyDescent="0.3">
      <c r="A17" s="62"/>
      <c r="B17" s="62" t="s">
        <v>26</v>
      </c>
      <c r="C17" s="63"/>
      <c r="D17" s="189" t="s">
        <v>52</v>
      </c>
      <c r="E17" s="65"/>
      <c r="F17" s="64"/>
      <c r="G17" s="64"/>
      <c r="H17" s="64"/>
      <c r="I17" s="60"/>
      <c r="J17" s="60"/>
      <c r="K17" s="64"/>
      <c r="L17" s="215">
        <v>0</v>
      </c>
      <c r="M17" s="220">
        <f t="shared" si="1"/>
        <v>0</v>
      </c>
    </row>
    <row r="18" spans="1:14" s="70" customFormat="1" ht="16.5" thickBot="1" x14ac:dyDescent="0.3">
      <c r="A18" s="66">
        <v>1</v>
      </c>
      <c r="B18" s="66" t="s">
        <v>27</v>
      </c>
      <c r="C18" s="67" t="s">
        <v>21</v>
      </c>
      <c r="D18" s="58">
        <v>317261</v>
      </c>
      <c r="E18" s="69">
        <f t="shared" ref="E18:H19" si="2">E20+E22+E24</f>
        <v>158985</v>
      </c>
      <c r="F18" s="68">
        <f t="shared" si="2"/>
        <v>26497.5</v>
      </c>
      <c r="G18" s="68">
        <f t="shared" si="2"/>
        <v>185482.5</v>
      </c>
      <c r="H18" s="68">
        <f t="shared" si="2"/>
        <v>168844</v>
      </c>
      <c r="I18" s="60">
        <f>G18/H18</f>
        <v>1.0985436260690342</v>
      </c>
      <c r="J18" s="60"/>
      <c r="K18" s="68">
        <f>K20+K22+K24</f>
        <v>167259</v>
      </c>
      <c r="L18" s="217">
        <v>1584.54</v>
      </c>
      <c r="M18" s="220">
        <f t="shared" si="1"/>
        <v>168843.54</v>
      </c>
    </row>
    <row r="19" spans="1:14" ht="15.75" customHeight="1" thickBot="1" x14ac:dyDescent="0.3">
      <c r="A19" s="66"/>
      <c r="B19" s="66"/>
      <c r="C19" s="67" t="s">
        <v>28</v>
      </c>
      <c r="D19" s="58">
        <v>32555</v>
      </c>
      <c r="E19" s="69">
        <f t="shared" si="2"/>
        <v>16073</v>
      </c>
      <c r="F19" s="68">
        <f t="shared" si="2"/>
        <v>2678.833333333333</v>
      </c>
      <c r="G19" s="68">
        <f t="shared" si="2"/>
        <v>18751.833333333336</v>
      </c>
      <c r="H19" s="68">
        <f t="shared" si="2"/>
        <v>17224</v>
      </c>
      <c r="I19" s="60">
        <f t="shared" ref="I19" si="3">G19/H19</f>
        <v>1.0887037467100171</v>
      </c>
      <c r="J19" s="60">
        <f>G19/D19</f>
        <v>0.57600470997798603</v>
      </c>
      <c r="K19" s="68">
        <f>K21+K23+K25</f>
        <v>16893</v>
      </c>
      <c r="L19" s="218">
        <v>332</v>
      </c>
      <c r="M19" s="220">
        <f t="shared" si="1"/>
        <v>17225</v>
      </c>
    </row>
    <row r="20" spans="1:14" ht="15.75" customHeight="1" thickBot="1" x14ac:dyDescent="0.3">
      <c r="A20" s="62"/>
      <c r="B20" s="62" t="s">
        <v>29</v>
      </c>
      <c r="C20" s="63" t="s">
        <v>30</v>
      </c>
      <c r="D20" s="58"/>
      <c r="E20" s="141">
        <v>51246</v>
      </c>
      <c r="F20" s="72">
        <f t="shared" ref="F20:F25" si="4">E20/6</f>
        <v>8541</v>
      </c>
      <c r="G20" s="64">
        <f>F20+E20</f>
        <v>59787</v>
      </c>
      <c r="H20" s="27">
        <v>55909</v>
      </c>
      <c r="I20" s="60"/>
      <c r="J20" s="60"/>
      <c r="K20" s="72">
        <v>55766</v>
      </c>
      <c r="L20" s="216">
        <v>143</v>
      </c>
      <c r="M20" s="220">
        <f t="shared" si="1"/>
        <v>55909</v>
      </c>
      <c r="N20" s="48"/>
    </row>
    <row r="21" spans="1:14" ht="15.75" customHeight="1" thickBot="1" x14ac:dyDescent="0.3">
      <c r="A21" s="62"/>
      <c r="B21" s="62"/>
      <c r="C21" s="63" t="s">
        <v>28</v>
      </c>
      <c r="D21" s="58"/>
      <c r="E21" s="141">
        <v>4996</v>
      </c>
      <c r="F21" s="72">
        <f t="shared" si="4"/>
        <v>832.66666666666663</v>
      </c>
      <c r="G21" s="64">
        <f t="shared" ref="G21:G33" si="5">F21+E21</f>
        <v>5828.666666666667</v>
      </c>
      <c r="H21" s="27">
        <v>5439</v>
      </c>
      <c r="I21" s="60"/>
      <c r="J21" s="60"/>
      <c r="K21" s="72">
        <v>5426</v>
      </c>
      <c r="L21" s="219">
        <v>13</v>
      </c>
      <c r="M21" s="220">
        <f t="shared" si="1"/>
        <v>5439</v>
      </c>
    </row>
    <row r="22" spans="1:14" ht="16.5" thickBot="1" x14ac:dyDescent="0.3">
      <c r="A22" s="62"/>
      <c r="B22" s="62" t="s">
        <v>31</v>
      </c>
      <c r="C22" s="63" t="s">
        <v>30</v>
      </c>
      <c r="D22" s="58"/>
      <c r="E22" s="141">
        <v>52553</v>
      </c>
      <c r="F22" s="72">
        <f t="shared" si="4"/>
        <v>8758.8333333333339</v>
      </c>
      <c r="G22" s="64">
        <f t="shared" si="5"/>
        <v>61311.833333333336</v>
      </c>
      <c r="H22" s="27">
        <v>56338</v>
      </c>
      <c r="I22" s="60"/>
      <c r="J22" s="60"/>
      <c r="K22" s="72">
        <v>56139</v>
      </c>
      <c r="L22" s="216">
        <v>199</v>
      </c>
      <c r="M22" s="220">
        <f t="shared" si="1"/>
        <v>56338</v>
      </c>
    </row>
    <row r="23" spans="1:14" ht="16.5" thickBot="1" x14ac:dyDescent="0.3">
      <c r="A23" s="62"/>
      <c r="B23" s="62"/>
      <c r="C23" s="63" t="s">
        <v>28</v>
      </c>
      <c r="D23" s="58"/>
      <c r="E23" s="141">
        <v>5233</v>
      </c>
      <c r="F23" s="72">
        <f t="shared" si="4"/>
        <v>872.16666666666663</v>
      </c>
      <c r="G23" s="64">
        <f t="shared" si="5"/>
        <v>6105.166666666667</v>
      </c>
      <c r="H23" s="27">
        <v>5414</v>
      </c>
      <c r="I23" s="60"/>
      <c r="J23" s="60"/>
      <c r="K23" s="72">
        <v>5396</v>
      </c>
      <c r="L23" s="216">
        <v>18.7</v>
      </c>
      <c r="M23" s="220">
        <f t="shared" si="1"/>
        <v>5414.7</v>
      </c>
    </row>
    <row r="24" spans="1:14" ht="16.5" thickBot="1" x14ac:dyDescent="0.3">
      <c r="A24" s="62"/>
      <c r="B24" s="62" t="s">
        <v>32</v>
      </c>
      <c r="C24" s="63" t="s">
        <v>30</v>
      </c>
      <c r="D24" s="58"/>
      <c r="E24" s="141">
        <v>55186</v>
      </c>
      <c r="F24" s="72">
        <f t="shared" si="4"/>
        <v>9197.6666666666661</v>
      </c>
      <c r="G24" s="64">
        <f t="shared" si="5"/>
        <v>64383.666666666664</v>
      </c>
      <c r="H24" s="27">
        <v>56597</v>
      </c>
      <c r="I24" s="60"/>
      <c r="J24" s="60"/>
      <c r="K24" s="72">
        <v>55354</v>
      </c>
      <c r="L24" s="216">
        <v>1243</v>
      </c>
      <c r="M24" s="220">
        <f t="shared" si="1"/>
        <v>56597</v>
      </c>
    </row>
    <row r="25" spans="1:14" ht="16.5" thickBot="1" x14ac:dyDescent="0.3">
      <c r="A25" s="62"/>
      <c r="B25" s="62"/>
      <c r="C25" s="63" t="s">
        <v>28</v>
      </c>
      <c r="D25" s="58"/>
      <c r="E25" s="141">
        <v>5844</v>
      </c>
      <c r="F25" s="72">
        <f t="shared" si="4"/>
        <v>974</v>
      </c>
      <c r="G25" s="64">
        <f t="shared" si="5"/>
        <v>6818</v>
      </c>
      <c r="H25" s="27">
        <v>6371</v>
      </c>
      <c r="I25" s="60"/>
      <c r="J25" s="60"/>
      <c r="K25" s="72">
        <v>6071</v>
      </c>
      <c r="L25" s="216">
        <v>300</v>
      </c>
      <c r="M25" s="220">
        <f t="shared" si="1"/>
        <v>6371</v>
      </c>
    </row>
    <row r="26" spans="1:14" s="70" customFormat="1" ht="16.5" thickBot="1" x14ac:dyDescent="0.3">
      <c r="A26" s="66">
        <v>2</v>
      </c>
      <c r="B26" s="66" t="s">
        <v>33</v>
      </c>
      <c r="C26" s="67" t="s">
        <v>21</v>
      </c>
      <c r="D26" s="58">
        <v>90487</v>
      </c>
      <c r="E26" s="69">
        <f>E27+E28+E29</f>
        <v>45066</v>
      </c>
      <c r="F26" s="68">
        <f>F27+F28+F29</f>
        <v>7511</v>
      </c>
      <c r="G26" s="68">
        <f>G27+G28+G29</f>
        <v>52577</v>
      </c>
      <c r="H26" s="68">
        <f>H27+H28+H29</f>
        <v>49084</v>
      </c>
      <c r="I26" s="60">
        <f>G26/H26</f>
        <v>1.0711637193382773</v>
      </c>
      <c r="J26" s="73">
        <f>G26/D26</f>
        <v>0.58104479096444794</v>
      </c>
      <c r="K26" s="68">
        <f>K27+K28+K29</f>
        <v>48302</v>
      </c>
      <c r="L26" s="218">
        <v>781.35</v>
      </c>
      <c r="M26" s="220">
        <f t="shared" si="1"/>
        <v>49083.35</v>
      </c>
    </row>
    <row r="27" spans="1:14" ht="16.5" thickBot="1" x14ac:dyDescent="0.3">
      <c r="A27" s="62"/>
      <c r="B27" s="62" t="s">
        <v>29</v>
      </c>
      <c r="C27" s="63" t="s">
        <v>21</v>
      </c>
      <c r="D27" s="58"/>
      <c r="E27" s="141">
        <v>2008</v>
      </c>
      <c r="F27" s="72">
        <f>E27/6</f>
        <v>334.66666666666669</v>
      </c>
      <c r="G27" s="64">
        <f>E27+F27</f>
        <v>2342.6666666666665</v>
      </c>
      <c r="H27" s="27">
        <v>2748</v>
      </c>
      <c r="I27" s="60"/>
      <c r="J27" s="60"/>
      <c r="K27" s="72">
        <v>2748</v>
      </c>
      <c r="L27" s="216">
        <v>0</v>
      </c>
      <c r="M27" s="220">
        <f t="shared" si="1"/>
        <v>2748</v>
      </c>
    </row>
    <row r="28" spans="1:14" ht="16.5" thickBot="1" x14ac:dyDescent="0.3">
      <c r="A28" s="62"/>
      <c r="B28" s="62" t="s">
        <v>34</v>
      </c>
      <c r="C28" s="63" t="s">
        <v>21</v>
      </c>
      <c r="D28" s="58"/>
      <c r="E28" s="141">
        <v>17198</v>
      </c>
      <c r="F28" s="72">
        <f>E28/6</f>
        <v>2866.3333333333335</v>
      </c>
      <c r="G28" s="64">
        <f>E28+F28</f>
        <v>20064.333333333332</v>
      </c>
      <c r="H28" s="27">
        <v>19205</v>
      </c>
      <c r="I28" s="60"/>
      <c r="J28" s="60"/>
      <c r="K28" s="72">
        <v>19134</v>
      </c>
      <c r="L28" s="216">
        <v>71</v>
      </c>
      <c r="M28" s="220">
        <f t="shared" si="1"/>
        <v>19205</v>
      </c>
    </row>
    <row r="29" spans="1:14" ht="15.75" customHeight="1" thickBot="1" x14ac:dyDescent="0.3">
      <c r="A29" s="62"/>
      <c r="B29" s="62" t="s">
        <v>32</v>
      </c>
      <c r="C29" s="63" t="s">
        <v>21</v>
      </c>
      <c r="D29" s="58"/>
      <c r="E29" s="141">
        <v>25860</v>
      </c>
      <c r="F29" s="72">
        <f>E29/6</f>
        <v>4310</v>
      </c>
      <c r="G29" s="64">
        <f>E29+F29</f>
        <v>30170</v>
      </c>
      <c r="H29" s="27">
        <v>27131</v>
      </c>
      <c r="I29" s="60"/>
      <c r="J29" s="60"/>
      <c r="K29" s="72">
        <v>26420</v>
      </c>
      <c r="L29" s="216">
        <v>711</v>
      </c>
      <c r="M29" s="220">
        <f t="shared" si="1"/>
        <v>27131</v>
      </c>
    </row>
    <row r="30" spans="1:14" s="70" customFormat="1" ht="16.5" thickBot="1" x14ac:dyDescent="0.3">
      <c r="A30" s="66">
        <v>3</v>
      </c>
      <c r="B30" s="66" t="s">
        <v>35</v>
      </c>
      <c r="C30" s="67" t="s">
        <v>21</v>
      </c>
      <c r="D30" s="58">
        <v>651947</v>
      </c>
      <c r="E30" s="69">
        <f>E31+E32+E33</f>
        <v>369025</v>
      </c>
      <c r="F30" s="68">
        <f>F31+F32+F33</f>
        <v>61504.166666666672</v>
      </c>
      <c r="G30" s="68">
        <f>G31+G32+G33</f>
        <v>430529.16666666663</v>
      </c>
      <c r="H30" s="68">
        <f>H31+H32+H33</f>
        <v>360388</v>
      </c>
      <c r="I30" s="60">
        <f>G30/H30</f>
        <v>1.1946268096237018</v>
      </c>
      <c r="J30" s="73">
        <f>G30/D30</f>
        <v>0.66037448851926095</v>
      </c>
      <c r="K30" s="68">
        <f>K31+K32+K33</f>
        <v>280944</v>
      </c>
      <c r="L30" s="217">
        <v>79444.160000000003</v>
      </c>
      <c r="M30" s="220">
        <f t="shared" si="1"/>
        <v>360388.16000000003</v>
      </c>
    </row>
    <row r="31" spans="1:14" ht="16.5" thickBot="1" x14ac:dyDescent="0.3">
      <c r="A31" s="62"/>
      <c r="B31" s="62" t="s">
        <v>29</v>
      </c>
      <c r="C31" s="63" t="s">
        <v>21</v>
      </c>
      <c r="D31" s="58"/>
      <c r="E31" s="141">
        <v>53384</v>
      </c>
      <c r="F31" s="72">
        <f>E31/6</f>
        <v>8897.3333333333339</v>
      </c>
      <c r="G31" s="64">
        <f t="shared" si="5"/>
        <v>62281.333333333336</v>
      </c>
      <c r="H31" s="27">
        <v>66281</v>
      </c>
      <c r="I31" s="60"/>
      <c r="J31" s="60"/>
      <c r="K31" s="72">
        <v>58505</v>
      </c>
      <c r="L31" s="219">
        <v>7776</v>
      </c>
      <c r="M31" s="220">
        <f t="shared" si="1"/>
        <v>66281</v>
      </c>
    </row>
    <row r="32" spans="1:14" ht="16.5" thickBot="1" x14ac:dyDescent="0.3">
      <c r="A32" s="62"/>
      <c r="B32" s="62" t="s">
        <v>34</v>
      </c>
      <c r="C32" s="63" t="s">
        <v>21</v>
      </c>
      <c r="D32" s="58"/>
      <c r="E32" s="141">
        <v>78878</v>
      </c>
      <c r="F32" s="72">
        <f>E32/6</f>
        <v>13146.333333333334</v>
      </c>
      <c r="G32" s="64">
        <f t="shared" si="5"/>
        <v>92024.333333333328</v>
      </c>
      <c r="H32" s="27">
        <v>82509</v>
      </c>
      <c r="I32" s="60"/>
      <c r="J32" s="60"/>
      <c r="K32" s="72">
        <v>79593</v>
      </c>
      <c r="L32" s="219">
        <v>2916</v>
      </c>
      <c r="M32" s="220">
        <f t="shared" si="1"/>
        <v>82509</v>
      </c>
    </row>
    <row r="33" spans="1:13" ht="15.75" customHeight="1" thickBot="1" x14ac:dyDescent="0.3">
      <c r="A33" s="62"/>
      <c r="B33" s="62" t="s">
        <v>32</v>
      </c>
      <c r="C33" s="63" t="s">
        <v>21</v>
      </c>
      <c r="D33" s="58"/>
      <c r="E33" s="141">
        <v>236763</v>
      </c>
      <c r="F33" s="72">
        <f>E33/6</f>
        <v>39460.5</v>
      </c>
      <c r="G33" s="64">
        <f t="shared" si="5"/>
        <v>276223.5</v>
      </c>
      <c r="H33" s="27">
        <v>211598</v>
      </c>
      <c r="I33" s="60"/>
      <c r="J33" s="60"/>
      <c r="K33" s="72">
        <v>142846</v>
      </c>
      <c r="L33" s="219">
        <v>68752.179999999993</v>
      </c>
      <c r="M33" s="220">
        <f t="shared" si="1"/>
        <v>211598.18</v>
      </c>
    </row>
    <row r="34" spans="1:13" s="70" customFormat="1" ht="16.5" thickBot="1" x14ac:dyDescent="0.3">
      <c r="A34" s="66">
        <v>4</v>
      </c>
      <c r="B34" s="66" t="s">
        <v>25</v>
      </c>
      <c r="C34" s="67" t="s">
        <v>21</v>
      </c>
      <c r="D34" s="58">
        <v>89834</v>
      </c>
      <c r="E34" s="133">
        <v>49109</v>
      </c>
      <c r="F34" s="74">
        <f>E34/6</f>
        <v>8184.833333333333</v>
      </c>
      <c r="G34" s="68">
        <f>F34+E34</f>
        <v>57293.833333333336</v>
      </c>
      <c r="H34" s="26">
        <v>41856</v>
      </c>
      <c r="I34" s="60">
        <f>G34/H34</f>
        <v>1.3688320272680938</v>
      </c>
      <c r="J34" s="73">
        <f>G34/D34</f>
        <v>0.63777448775890344</v>
      </c>
      <c r="K34" s="74">
        <v>41856</v>
      </c>
      <c r="L34" s="219">
        <v>0</v>
      </c>
      <c r="M34" s="220">
        <f t="shared" si="1"/>
        <v>41856</v>
      </c>
    </row>
    <row r="35" spans="1:13" ht="15.75" thickBot="1" x14ac:dyDescent="0.3">
      <c r="A35" s="62"/>
      <c r="B35" s="62"/>
      <c r="C35" s="63"/>
      <c r="D35" s="64"/>
      <c r="E35" s="62"/>
      <c r="F35" s="62"/>
      <c r="G35" s="62"/>
      <c r="H35" s="64"/>
      <c r="I35" s="75"/>
      <c r="J35" s="75"/>
      <c r="K35" s="74">
        <v>41856</v>
      </c>
      <c r="L35" s="219">
        <v>0</v>
      </c>
      <c r="M35" s="220">
        <f t="shared" si="1"/>
        <v>41856</v>
      </c>
    </row>
    <row r="36" spans="1:13" ht="15.75" thickBot="1" x14ac:dyDescent="0.3">
      <c r="A36" s="76"/>
      <c r="B36" s="76"/>
      <c r="C36" s="77"/>
      <c r="D36" s="78"/>
      <c r="E36" s="76"/>
      <c r="F36" s="76"/>
      <c r="G36" s="76"/>
      <c r="H36" s="78"/>
      <c r="I36" s="76"/>
      <c r="J36" s="76"/>
      <c r="L36" s="218"/>
    </row>
    <row r="37" spans="1:13" ht="47.25" customHeight="1" x14ac:dyDescent="0.25">
      <c r="A37" s="257"/>
      <c r="B37" s="258"/>
      <c r="C37" s="258"/>
      <c r="D37" s="258"/>
      <c r="E37" s="258"/>
      <c r="F37" s="258"/>
      <c r="G37" s="258"/>
      <c r="H37" s="258"/>
      <c r="I37" s="258"/>
      <c r="J37" s="258"/>
    </row>
    <row r="38" spans="1:13" ht="16.5" customHeight="1" x14ac:dyDescent="0.25">
      <c r="A38" s="79"/>
      <c r="B38" s="79"/>
      <c r="C38" s="77"/>
      <c r="D38" s="78"/>
      <c r="E38" s="76"/>
      <c r="F38" s="76"/>
      <c r="G38" s="76"/>
      <c r="H38" s="78"/>
      <c r="I38" s="76"/>
      <c r="J38" s="76"/>
    </row>
    <row r="39" spans="1:13" ht="15.75" x14ac:dyDescent="0.25">
      <c r="A39" s="79"/>
      <c r="B39" s="79"/>
      <c r="C39" s="77"/>
      <c r="D39" s="78"/>
      <c r="E39" s="76"/>
      <c r="F39" s="76"/>
      <c r="G39" s="76"/>
      <c r="H39" s="78"/>
      <c r="I39" s="76"/>
      <c r="J39" s="76"/>
    </row>
    <row r="40" spans="1:13" ht="15.75" x14ac:dyDescent="0.25">
      <c r="A40" s="79"/>
      <c r="B40" s="79"/>
      <c r="C40" s="77"/>
      <c r="D40" s="78"/>
      <c r="E40" s="76"/>
      <c r="F40" s="76"/>
      <c r="G40" s="76"/>
      <c r="H40" s="78"/>
      <c r="I40" s="76"/>
      <c r="J40" s="76"/>
    </row>
    <row r="41" spans="1:13" ht="15.75" x14ac:dyDescent="0.25">
      <c r="A41" s="79"/>
      <c r="B41" s="79"/>
      <c r="C41" s="77"/>
      <c r="D41" s="78"/>
      <c r="E41" s="76"/>
      <c r="F41" s="76"/>
      <c r="G41" s="76"/>
      <c r="H41" s="78"/>
      <c r="I41" s="76"/>
      <c r="J41" s="76"/>
    </row>
    <row r="42" spans="1:13" ht="15.75" x14ac:dyDescent="0.25">
      <c r="A42" s="79"/>
      <c r="B42" s="79"/>
      <c r="C42" s="77"/>
      <c r="D42" s="78"/>
      <c r="E42" s="76"/>
      <c r="F42" s="76"/>
      <c r="G42" s="76"/>
      <c r="H42" s="78"/>
      <c r="I42" s="76"/>
      <c r="J42" s="76"/>
    </row>
    <row r="43" spans="1:13" ht="15.75" x14ac:dyDescent="0.25">
      <c r="A43" s="246"/>
      <c r="B43" s="246"/>
      <c r="C43" s="77"/>
      <c r="D43" s="78"/>
      <c r="E43" s="76"/>
      <c r="F43" s="76"/>
      <c r="G43" s="76"/>
      <c r="H43" s="78"/>
      <c r="I43" s="76"/>
      <c r="J43" s="76"/>
    </row>
    <row r="44" spans="1:13" ht="15.75" x14ac:dyDescent="0.25">
      <c r="A44" s="241"/>
      <c r="B44" s="241"/>
      <c r="C44" s="77"/>
      <c r="D44" s="78"/>
      <c r="E44" s="76"/>
      <c r="F44" s="76"/>
      <c r="G44" s="76"/>
      <c r="H44" s="78"/>
      <c r="I44" s="76"/>
      <c r="J44" s="76"/>
    </row>
    <row r="45" spans="1:13" x14ac:dyDescent="0.25">
      <c r="A45" s="76"/>
      <c r="B45" s="76"/>
      <c r="C45" s="77"/>
      <c r="D45" s="78"/>
      <c r="E45" s="76"/>
      <c r="F45" s="76"/>
      <c r="G45" s="76"/>
      <c r="H45" s="78"/>
      <c r="I45" s="76"/>
      <c r="J45" s="76"/>
    </row>
    <row r="46" spans="1:13" x14ac:dyDescent="0.25">
      <c r="A46" s="76"/>
      <c r="B46" s="76"/>
      <c r="C46" s="77"/>
      <c r="D46" s="78"/>
      <c r="E46" s="76"/>
      <c r="F46" s="76"/>
      <c r="G46" s="76"/>
      <c r="H46" s="78"/>
      <c r="I46" s="76"/>
      <c r="J46" s="76"/>
    </row>
    <row r="47" spans="1:13" x14ac:dyDescent="0.25">
      <c r="A47" s="76"/>
      <c r="B47" s="76"/>
      <c r="C47" s="77"/>
      <c r="D47" s="78"/>
      <c r="E47" s="76"/>
      <c r="F47" s="76"/>
      <c r="G47" s="76"/>
      <c r="H47" s="78"/>
      <c r="I47" s="76"/>
      <c r="J47" s="76"/>
    </row>
    <row r="48" spans="1:13"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row r="56" spans="1:10" x14ac:dyDescent="0.25">
      <c r="A56" s="76"/>
      <c r="B56" s="76"/>
      <c r="C56" s="77"/>
      <c r="D56" s="78"/>
      <c r="E56" s="76"/>
      <c r="F56" s="76"/>
      <c r="G56" s="76"/>
      <c r="H56" s="78"/>
      <c r="I56" s="76"/>
      <c r="J56" s="76"/>
    </row>
  </sheetData>
  <mergeCells count="11">
    <mergeCell ref="A43:B43"/>
    <mergeCell ref="A44:B44"/>
    <mergeCell ref="A1:J1"/>
    <mergeCell ref="A6:J6"/>
    <mergeCell ref="A7:J7"/>
    <mergeCell ref="A9:A10"/>
    <mergeCell ref="B9:B10"/>
    <mergeCell ref="C9:C10"/>
    <mergeCell ref="D9:D10"/>
    <mergeCell ref="E9:J9"/>
    <mergeCell ref="A37:J37"/>
  </mergeCells>
  <phoneticPr fontId="12" type="noConversion"/>
  <pageMargins left="0.45" right="0.45" top="0.75" bottom="0.75"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P55"/>
  <sheetViews>
    <sheetView topLeftCell="A8" zoomScale="80" zoomScaleNormal="80" workbookViewId="0">
      <selection activeCell="D11" sqref="D11:D34"/>
    </sheetView>
  </sheetViews>
  <sheetFormatPr defaultRowHeight="15" x14ac:dyDescent="0.25"/>
  <cols>
    <col min="1" max="1" width="4.28515625" style="47" customWidth="1"/>
    <col min="2" max="2" width="20.28515625" style="47" customWidth="1"/>
    <col min="3" max="3" width="10.28515625" style="80" bestFit="1" customWidth="1"/>
    <col min="4" max="4" width="11.5703125" style="48" customWidth="1"/>
    <col min="5" max="5" width="8.5703125" style="47" customWidth="1"/>
    <col min="6" max="6" width="8.7109375" style="47" customWidth="1"/>
    <col min="7" max="7" width="10" style="47" customWidth="1"/>
    <col min="8" max="8" width="8.7109375" style="48" customWidth="1"/>
    <col min="9" max="10" width="8.85546875" style="47" customWidth="1"/>
    <col min="11" max="11" width="11.42578125" style="47" bestFit="1" customWidth="1"/>
    <col min="12" max="12" width="11.140625" style="48" bestFit="1" customWidth="1"/>
    <col min="13" max="16384" width="9.140625" style="47"/>
  </cols>
  <sheetData>
    <row r="1" spans="1:14" ht="18.75" x14ac:dyDescent="0.3">
      <c r="A1" s="242" t="s">
        <v>37</v>
      </c>
      <c r="B1" s="242"/>
      <c r="C1" s="242"/>
      <c r="D1" s="242"/>
      <c r="E1" s="242"/>
      <c r="F1" s="242"/>
      <c r="G1" s="242"/>
      <c r="H1" s="242"/>
      <c r="I1" s="242"/>
      <c r="J1" s="242"/>
    </row>
    <row r="2" spans="1:14" ht="15.75" x14ac:dyDescent="0.25">
      <c r="A2" s="49" t="s">
        <v>0</v>
      </c>
      <c r="B2" s="49"/>
      <c r="C2" s="50"/>
      <c r="D2" s="51"/>
      <c r="E2" s="49"/>
      <c r="F2" s="49"/>
      <c r="G2" s="116" t="s">
        <v>73</v>
      </c>
      <c r="H2" s="116"/>
      <c r="I2" s="116"/>
      <c r="J2" s="116"/>
    </row>
    <row r="3" spans="1:14" ht="15.75" x14ac:dyDescent="0.25">
      <c r="A3" s="49" t="s">
        <v>80</v>
      </c>
      <c r="B3" s="49"/>
      <c r="C3" s="50"/>
      <c r="D3" s="51"/>
      <c r="E3" s="49"/>
      <c r="F3" s="49"/>
      <c r="G3" s="116" t="s">
        <v>74</v>
      </c>
      <c r="H3" s="116"/>
      <c r="I3" s="116"/>
      <c r="J3" s="116"/>
    </row>
    <row r="4" spans="1:14" x14ac:dyDescent="0.25">
      <c r="A4" s="49"/>
      <c r="B4" s="49"/>
      <c r="C4" s="50"/>
      <c r="D4" s="51"/>
      <c r="E4" s="49"/>
      <c r="F4" s="49"/>
      <c r="G4" s="49"/>
      <c r="H4" s="51"/>
      <c r="I4" s="49"/>
      <c r="J4" s="49"/>
    </row>
    <row r="5" spans="1:14" ht="16.5" x14ac:dyDescent="0.25">
      <c r="A5" s="243" t="s">
        <v>3</v>
      </c>
      <c r="B5" s="243"/>
      <c r="C5" s="243"/>
      <c r="D5" s="243"/>
      <c r="E5" s="243"/>
      <c r="F5" s="243"/>
      <c r="G5" s="243"/>
      <c r="H5" s="243"/>
      <c r="I5" s="243"/>
      <c r="J5" s="243"/>
    </row>
    <row r="6" spans="1:14" ht="16.5" x14ac:dyDescent="0.25">
      <c r="A6" s="243" t="s">
        <v>79</v>
      </c>
      <c r="B6" s="243"/>
      <c r="C6" s="243"/>
      <c r="D6" s="243"/>
      <c r="E6" s="243"/>
      <c r="F6" s="243"/>
      <c r="G6" s="243"/>
      <c r="H6" s="243"/>
      <c r="I6" s="243"/>
      <c r="J6" s="243"/>
    </row>
    <row r="8" spans="1:14" x14ac:dyDescent="0.25">
      <c r="A8" s="244" t="s">
        <v>4</v>
      </c>
      <c r="B8" s="244" t="s">
        <v>5</v>
      </c>
      <c r="C8" s="244" t="s">
        <v>6</v>
      </c>
      <c r="D8" s="245" t="s">
        <v>7</v>
      </c>
      <c r="E8" s="244" t="s">
        <v>8</v>
      </c>
      <c r="F8" s="244"/>
      <c r="G8" s="244"/>
      <c r="H8" s="244"/>
      <c r="I8" s="244"/>
      <c r="J8" s="244"/>
    </row>
    <row r="9" spans="1:14" ht="85.5" x14ac:dyDescent="0.25">
      <c r="A9" s="244"/>
      <c r="B9" s="244"/>
      <c r="C9" s="244"/>
      <c r="D9" s="245"/>
      <c r="E9" s="53" t="s">
        <v>9</v>
      </c>
      <c r="F9" s="53" t="s">
        <v>10</v>
      </c>
      <c r="G9" s="53" t="s">
        <v>11</v>
      </c>
      <c r="H9" s="54" t="s">
        <v>12</v>
      </c>
      <c r="I9" s="53" t="s">
        <v>13</v>
      </c>
      <c r="J9" s="53" t="s">
        <v>14</v>
      </c>
    </row>
    <row r="10" spans="1:14" x14ac:dyDescent="0.25">
      <c r="A10" s="53" t="s">
        <v>15</v>
      </c>
      <c r="B10" s="53" t="s">
        <v>16</v>
      </c>
      <c r="C10" s="53" t="s">
        <v>17</v>
      </c>
      <c r="D10" s="54">
        <v>1</v>
      </c>
      <c r="E10" s="53">
        <v>2</v>
      </c>
      <c r="F10" s="53">
        <v>3</v>
      </c>
      <c r="G10" s="53">
        <v>4</v>
      </c>
      <c r="H10" s="54">
        <v>5</v>
      </c>
      <c r="I10" s="53" t="s">
        <v>18</v>
      </c>
      <c r="J10" s="53" t="s">
        <v>19</v>
      </c>
    </row>
    <row r="11" spans="1:14" s="61" customFormat="1" ht="15.75" x14ac:dyDescent="0.25">
      <c r="A11" s="55"/>
      <c r="B11" s="55" t="s">
        <v>20</v>
      </c>
      <c r="C11" s="56" t="s">
        <v>21</v>
      </c>
      <c r="D11" s="58">
        <v>1064879</v>
      </c>
      <c r="E11" s="59">
        <f>E12+E13+E14+E15</f>
        <v>672635</v>
      </c>
      <c r="F11" s="59">
        <f>F12+F13+F14+F15</f>
        <v>96090.71428571429</v>
      </c>
      <c r="G11" s="59">
        <f>G12+G13+G14+G15</f>
        <v>768725.71428571432</v>
      </c>
      <c r="H11" s="59">
        <f>H12+H13+H14+H15</f>
        <v>678819</v>
      </c>
      <c r="I11" s="60">
        <f>G11/H11</f>
        <v>1.1324457834646855</v>
      </c>
      <c r="J11" s="60">
        <f>G11/D11</f>
        <v>0.72189019999991955</v>
      </c>
      <c r="K11" s="221">
        <f>SUM(K12:K14)</f>
        <v>107157</v>
      </c>
      <c r="L11" s="57"/>
      <c r="N11" s="57">
        <f>H11+K11</f>
        <v>785976</v>
      </c>
    </row>
    <row r="12" spans="1:14" ht="15.75" x14ac:dyDescent="0.25">
      <c r="A12" s="62"/>
      <c r="B12" s="62" t="s">
        <v>22</v>
      </c>
      <c r="C12" s="63" t="s">
        <v>21</v>
      </c>
      <c r="D12" s="58"/>
      <c r="E12" s="64">
        <f>E19+E26+E30</f>
        <v>123758</v>
      </c>
      <c r="F12" s="64">
        <f>F19+F26+F30</f>
        <v>17679.714285714286</v>
      </c>
      <c r="G12" s="64">
        <f>G19+G26+G30</f>
        <v>141437.71428571429</v>
      </c>
      <c r="H12" s="64">
        <f>H19+H26+H30</f>
        <v>137392</v>
      </c>
      <c r="I12" s="60">
        <f t="shared" ref="I12:I14" si="0">G12/H12</f>
        <v>1.0294465055149811</v>
      </c>
      <c r="J12" s="60"/>
      <c r="K12" s="221">
        <f>K23+K28+K32</f>
        <v>100573</v>
      </c>
      <c r="N12" s="57">
        <f t="shared" ref="N12:N32" si="1">H12+K12</f>
        <v>237965</v>
      </c>
    </row>
    <row r="13" spans="1:14" ht="15.75" x14ac:dyDescent="0.25">
      <c r="A13" s="62"/>
      <c r="B13" s="62" t="s">
        <v>23</v>
      </c>
      <c r="C13" s="63" t="s">
        <v>21</v>
      </c>
      <c r="D13" s="58"/>
      <c r="E13" s="64">
        <f>E21+E27+E31</f>
        <v>174289</v>
      </c>
      <c r="F13" s="64">
        <f>F21+F27+F31</f>
        <v>24898.428571428572</v>
      </c>
      <c r="G13" s="64">
        <f>G21+G27+G31</f>
        <v>199187.42857142858</v>
      </c>
      <c r="H13" s="64">
        <f>H21+H27+H31</f>
        <v>180887</v>
      </c>
      <c r="I13" s="60">
        <f t="shared" si="0"/>
        <v>1.101170501868175</v>
      </c>
      <c r="J13" s="60"/>
      <c r="K13" s="221">
        <f>K21+K27+K31</f>
        <v>3519</v>
      </c>
      <c r="N13" s="57">
        <f t="shared" si="1"/>
        <v>184406</v>
      </c>
    </row>
    <row r="14" spans="1:14" ht="15.75" x14ac:dyDescent="0.25">
      <c r="A14" s="62"/>
      <c r="B14" s="62" t="s">
        <v>24</v>
      </c>
      <c r="C14" s="63" t="s">
        <v>21</v>
      </c>
      <c r="D14" s="58"/>
      <c r="E14" s="64">
        <f>E23+E28+E32</f>
        <v>372043</v>
      </c>
      <c r="F14" s="64">
        <f>F23+F28+F32</f>
        <v>53149</v>
      </c>
      <c r="G14" s="64">
        <f>G23+G28+G32</f>
        <v>425192</v>
      </c>
      <c r="H14" s="64">
        <f>H23+H28+H32</f>
        <v>358299</v>
      </c>
      <c r="I14" s="60">
        <f t="shared" si="0"/>
        <v>1.1866960276193905</v>
      </c>
      <c r="J14" s="60"/>
      <c r="K14" s="221">
        <f>K19+K26+K30</f>
        <v>3065</v>
      </c>
      <c r="N14" s="57">
        <f t="shared" si="1"/>
        <v>361364</v>
      </c>
    </row>
    <row r="15" spans="1:14" ht="15.75" x14ac:dyDescent="0.25">
      <c r="A15" s="62"/>
      <c r="B15" s="62" t="s">
        <v>43</v>
      </c>
      <c r="C15" s="63" t="s">
        <v>21</v>
      </c>
      <c r="D15" s="58"/>
      <c r="E15" s="64">
        <f>E33</f>
        <v>2545</v>
      </c>
      <c r="F15" s="64">
        <f>E15/7</f>
        <v>363.57142857142856</v>
      </c>
      <c r="G15" s="64">
        <f>E15+F15</f>
        <v>2908.5714285714284</v>
      </c>
      <c r="H15" s="64">
        <v>2241</v>
      </c>
      <c r="I15" s="60"/>
      <c r="J15" s="60"/>
      <c r="K15" s="221"/>
      <c r="N15" s="57">
        <f t="shared" si="1"/>
        <v>2241</v>
      </c>
    </row>
    <row r="16" spans="1:14" ht="16.5" thickBot="1" x14ac:dyDescent="0.3">
      <c r="A16" s="62"/>
      <c r="B16" s="62" t="s">
        <v>26</v>
      </c>
      <c r="C16" s="63"/>
      <c r="D16" s="189" t="s">
        <v>52</v>
      </c>
      <c r="E16" s="64"/>
      <c r="F16" s="64"/>
      <c r="G16" s="64"/>
      <c r="H16" s="64"/>
      <c r="I16" s="60"/>
      <c r="J16" s="60"/>
      <c r="K16" s="81"/>
      <c r="N16" s="57">
        <f t="shared" si="1"/>
        <v>0</v>
      </c>
    </row>
    <row r="17" spans="1:16" s="70" customFormat="1" ht="16.5" thickBot="1" x14ac:dyDescent="0.3">
      <c r="A17" s="66">
        <v>1</v>
      </c>
      <c r="B17" s="66" t="s">
        <v>27</v>
      </c>
      <c r="C17" s="67" t="s">
        <v>21</v>
      </c>
      <c r="D17" s="58">
        <v>317261</v>
      </c>
      <c r="E17" s="68">
        <f>E19+E21+E23</f>
        <v>186946</v>
      </c>
      <c r="F17" s="68">
        <f t="shared" ref="F17:H18" si="2">F19+F21+F23</f>
        <v>26706.571428571428</v>
      </c>
      <c r="G17" s="68">
        <f t="shared" si="2"/>
        <v>213652.57142857142</v>
      </c>
      <c r="H17" s="68">
        <f t="shared" si="2"/>
        <v>195350</v>
      </c>
      <c r="I17" s="60">
        <f t="shared" ref="I17:I18" si="3">G17/H17</f>
        <v>1.0936911770083</v>
      </c>
      <c r="J17" s="60"/>
      <c r="K17" s="222">
        <f t="shared" ref="K17:K18" si="4">K19+K21+K23</f>
        <v>2305</v>
      </c>
      <c r="L17" s="90">
        <f>E17/K17</f>
        <v>81.104555314533627</v>
      </c>
      <c r="N17" s="57">
        <f t="shared" si="1"/>
        <v>197655</v>
      </c>
      <c r="O17" s="223">
        <v>168844</v>
      </c>
      <c r="P17" s="104">
        <f>E17/O17</f>
        <v>1.1072113903958685</v>
      </c>
    </row>
    <row r="18" spans="1:16" ht="15.75" customHeight="1" thickBot="1" x14ac:dyDescent="0.3">
      <c r="A18" s="66"/>
      <c r="B18" s="66"/>
      <c r="C18" s="67" t="s">
        <v>28</v>
      </c>
      <c r="D18" s="58">
        <v>32555</v>
      </c>
      <c r="E18" s="68">
        <f>E20+E22+E24</f>
        <v>19104</v>
      </c>
      <c r="F18" s="68">
        <f>F20+F22+F24</f>
        <v>2729.1428571428573</v>
      </c>
      <c r="G18" s="68">
        <f t="shared" si="2"/>
        <v>21833.142857142859</v>
      </c>
      <c r="H18" s="68">
        <f t="shared" si="2"/>
        <v>19953</v>
      </c>
      <c r="I18" s="60">
        <f t="shared" si="3"/>
        <v>1.0942285800201903</v>
      </c>
      <c r="J18" s="60">
        <f>G18/D18</f>
        <v>0.67065405796783473</v>
      </c>
      <c r="K18" s="222">
        <f t="shared" si="4"/>
        <v>363</v>
      </c>
      <c r="L18" s="90">
        <f t="shared" ref="L18:L24" si="5">E18/K18</f>
        <v>52.628099173553721</v>
      </c>
      <c r="N18" s="57">
        <f t="shared" si="1"/>
        <v>20316</v>
      </c>
      <c r="O18" s="224">
        <v>17224</v>
      </c>
      <c r="P18" s="104">
        <f t="shared" ref="P18:P24" si="6">E18/O18</f>
        <v>1.1091500232234093</v>
      </c>
    </row>
    <row r="19" spans="1:16" ht="15.75" customHeight="1" thickBot="1" x14ac:dyDescent="0.3">
      <c r="A19" s="62"/>
      <c r="B19" s="62" t="s">
        <v>29</v>
      </c>
      <c r="C19" s="63" t="s">
        <v>30</v>
      </c>
      <c r="D19" s="58"/>
      <c r="E19" s="72">
        <v>60015</v>
      </c>
      <c r="F19" s="72">
        <f t="shared" ref="F19:F24" si="7">E19/7</f>
        <v>8573.5714285714294</v>
      </c>
      <c r="G19" s="64">
        <f>F19+E19</f>
        <v>68588.571428571435</v>
      </c>
      <c r="H19" s="72">
        <v>64211</v>
      </c>
      <c r="I19" s="60"/>
      <c r="J19" s="60"/>
      <c r="K19" s="48">
        <v>144</v>
      </c>
      <c r="L19" s="90">
        <f t="shared" si="5"/>
        <v>416.77083333333331</v>
      </c>
      <c r="N19" s="57">
        <f t="shared" si="1"/>
        <v>64355</v>
      </c>
      <c r="O19" s="183">
        <v>55909</v>
      </c>
      <c r="P19" s="104">
        <f t="shared" si="6"/>
        <v>1.07344076982239</v>
      </c>
    </row>
    <row r="20" spans="1:16" ht="15.75" customHeight="1" thickBot="1" x14ac:dyDescent="0.3">
      <c r="A20" s="62"/>
      <c r="B20" s="62"/>
      <c r="C20" s="63" t="s">
        <v>28</v>
      </c>
      <c r="D20" s="58"/>
      <c r="E20" s="72">
        <v>5963</v>
      </c>
      <c r="F20" s="72">
        <f t="shared" si="7"/>
        <v>851.85714285714289</v>
      </c>
      <c r="G20" s="64">
        <f t="shared" ref="G20:G32" si="8">F20+E20</f>
        <v>6814.8571428571431</v>
      </c>
      <c r="H20" s="72">
        <v>6277</v>
      </c>
      <c r="I20" s="60"/>
      <c r="J20" s="60"/>
      <c r="K20" s="48">
        <v>15</v>
      </c>
      <c r="L20" s="90">
        <f t="shared" si="5"/>
        <v>397.53333333333336</v>
      </c>
      <c r="N20" s="57">
        <f t="shared" si="1"/>
        <v>6292</v>
      </c>
      <c r="O20" s="183">
        <v>5439</v>
      </c>
      <c r="P20" s="104">
        <f t="shared" si="6"/>
        <v>1.096341239198382</v>
      </c>
    </row>
    <row r="21" spans="1:16" ht="16.5" thickBot="1" x14ac:dyDescent="0.3">
      <c r="A21" s="62"/>
      <c r="B21" s="62" t="s">
        <v>31</v>
      </c>
      <c r="C21" s="63" t="s">
        <v>30</v>
      </c>
      <c r="D21" s="58"/>
      <c r="E21" s="72">
        <v>62294</v>
      </c>
      <c r="F21" s="72">
        <f t="shared" si="7"/>
        <v>8899.1428571428569</v>
      </c>
      <c r="G21" s="64">
        <f t="shared" si="8"/>
        <v>71193.142857142855</v>
      </c>
      <c r="H21" s="72">
        <v>65071</v>
      </c>
      <c r="I21" s="60"/>
      <c r="J21" s="60"/>
      <c r="K21" s="48">
        <v>247</v>
      </c>
      <c r="L21" s="90">
        <f t="shared" si="5"/>
        <v>252.20242914979758</v>
      </c>
      <c r="N21" s="57">
        <f t="shared" si="1"/>
        <v>65318</v>
      </c>
      <c r="O21" s="183">
        <v>56338</v>
      </c>
      <c r="P21" s="104">
        <f t="shared" si="6"/>
        <v>1.1057190528595264</v>
      </c>
    </row>
    <row r="22" spans="1:16" ht="16.5" thickBot="1" x14ac:dyDescent="0.3">
      <c r="A22" s="62"/>
      <c r="B22" s="62"/>
      <c r="C22" s="63" t="s">
        <v>28</v>
      </c>
      <c r="D22" s="58"/>
      <c r="E22" s="72">
        <v>6194</v>
      </c>
      <c r="F22" s="72">
        <f t="shared" si="7"/>
        <v>884.85714285714289</v>
      </c>
      <c r="G22" s="64">
        <f t="shared" si="8"/>
        <v>7078.8571428571431</v>
      </c>
      <c r="H22" s="72">
        <v>6320</v>
      </c>
      <c r="I22" s="60"/>
      <c r="J22" s="60"/>
      <c r="K22" s="48">
        <v>21</v>
      </c>
      <c r="L22" s="90">
        <f t="shared" si="5"/>
        <v>294.95238095238096</v>
      </c>
      <c r="N22" s="57">
        <f t="shared" si="1"/>
        <v>6341</v>
      </c>
      <c r="O22" s="183">
        <v>5414</v>
      </c>
      <c r="P22" s="104">
        <f t="shared" si="6"/>
        <v>1.144070927225711</v>
      </c>
    </row>
    <row r="23" spans="1:16" ht="16.5" thickBot="1" x14ac:dyDescent="0.3">
      <c r="A23" s="62"/>
      <c r="B23" s="62" t="s">
        <v>32</v>
      </c>
      <c r="C23" s="63" t="s">
        <v>30</v>
      </c>
      <c r="D23" s="58"/>
      <c r="E23" s="72">
        <v>64637</v>
      </c>
      <c r="F23" s="72">
        <f t="shared" si="7"/>
        <v>9233.8571428571431</v>
      </c>
      <c r="G23" s="64">
        <f t="shared" si="8"/>
        <v>73870.857142857145</v>
      </c>
      <c r="H23" s="72">
        <v>66068</v>
      </c>
      <c r="I23" s="60"/>
      <c r="J23" s="60"/>
      <c r="K23" s="48">
        <v>1914</v>
      </c>
      <c r="L23" s="90">
        <f t="shared" si="5"/>
        <v>33.77063740856844</v>
      </c>
      <c r="N23" s="57">
        <f t="shared" si="1"/>
        <v>67982</v>
      </c>
      <c r="O23" s="183">
        <v>56597</v>
      </c>
      <c r="P23" s="104">
        <f t="shared" si="6"/>
        <v>1.1420569994876053</v>
      </c>
    </row>
    <row r="24" spans="1:16" ht="16.5" thickBot="1" x14ac:dyDescent="0.3">
      <c r="A24" s="62"/>
      <c r="B24" s="62"/>
      <c r="C24" s="63" t="s">
        <v>28</v>
      </c>
      <c r="D24" s="58"/>
      <c r="E24" s="72">
        <v>6947</v>
      </c>
      <c r="F24" s="72">
        <f t="shared" si="7"/>
        <v>992.42857142857144</v>
      </c>
      <c r="G24" s="64">
        <f t="shared" si="8"/>
        <v>7939.4285714285716</v>
      </c>
      <c r="H24" s="72">
        <v>7356</v>
      </c>
      <c r="I24" s="60"/>
      <c r="J24" s="60"/>
      <c r="K24" s="48">
        <v>327</v>
      </c>
      <c r="L24" s="90">
        <f t="shared" si="5"/>
        <v>21.244648318042813</v>
      </c>
      <c r="N24" s="57">
        <f t="shared" si="1"/>
        <v>7683</v>
      </c>
      <c r="O24" s="183">
        <v>6371</v>
      </c>
      <c r="P24" s="104">
        <f t="shared" si="6"/>
        <v>1.0904096688118035</v>
      </c>
    </row>
    <row r="25" spans="1:16" s="70" customFormat="1" ht="15.75" x14ac:dyDescent="0.25">
      <c r="A25" s="66">
        <v>2</v>
      </c>
      <c r="B25" s="66" t="s">
        <v>33</v>
      </c>
      <c r="C25" s="67" t="s">
        <v>21</v>
      </c>
      <c r="D25" s="58">
        <v>90487</v>
      </c>
      <c r="E25" s="68">
        <f>E26+E27+E28</f>
        <v>52908</v>
      </c>
      <c r="F25" s="68">
        <f>F26+F27+F28</f>
        <v>7558.2857142857147</v>
      </c>
      <c r="G25" s="68">
        <f>G26+G27+G28</f>
        <v>60466.285714285717</v>
      </c>
      <c r="H25" s="68">
        <f>H26+H27+H28</f>
        <v>56636</v>
      </c>
      <c r="I25" s="60">
        <f>G25/H25</f>
        <v>1.0676298770090704</v>
      </c>
      <c r="J25" s="73">
        <f>G25/D25</f>
        <v>0.66823174283914499</v>
      </c>
      <c r="K25" s="70">
        <f>K26+K27+K28</f>
        <v>1655</v>
      </c>
      <c r="L25" s="71"/>
      <c r="N25" s="57">
        <f t="shared" si="1"/>
        <v>58291</v>
      </c>
    </row>
    <row r="26" spans="1:16" ht="15.75" x14ac:dyDescent="0.25">
      <c r="A26" s="62"/>
      <c r="B26" s="62" t="s">
        <v>29</v>
      </c>
      <c r="C26" s="63" t="s">
        <v>21</v>
      </c>
      <c r="D26" s="58"/>
      <c r="E26" s="72">
        <v>2329</v>
      </c>
      <c r="F26" s="72">
        <f>E26/7</f>
        <v>332.71428571428572</v>
      </c>
      <c r="G26" s="64">
        <f>E26+F26</f>
        <v>2661.7142857142858</v>
      </c>
      <c r="H26" s="72">
        <v>3078</v>
      </c>
      <c r="I26" s="60"/>
      <c r="J26" s="60"/>
      <c r="K26" s="47">
        <v>67</v>
      </c>
      <c r="N26" s="57">
        <f t="shared" si="1"/>
        <v>3145</v>
      </c>
    </row>
    <row r="27" spans="1:16" ht="15.75" x14ac:dyDescent="0.25">
      <c r="A27" s="62"/>
      <c r="B27" s="62" t="s">
        <v>34</v>
      </c>
      <c r="C27" s="63" t="s">
        <v>21</v>
      </c>
      <c r="D27" s="58"/>
      <c r="E27" s="72">
        <v>20260</v>
      </c>
      <c r="F27" s="72">
        <f>E27/7</f>
        <v>2894.2857142857142</v>
      </c>
      <c r="G27" s="64">
        <f>E27+F27</f>
        <v>23154.285714285714</v>
      </c>
      <c r="H27" s="72">
        <v>21512</v>
      </c>
      <c r="I27" s="60"/>
      <c r="J27" s="60"/>
      <c r="K27" s="47">
        <v>72</v>
      </c>
      <c r="N27" s="57">
        <f t="shared" si="1"/>
        <v>21584</v>
      </c>
    </row>
    <row r="28" spans="1:16" ht="15.75" customHeight="1" x14ac:dyDescent="0.25">
      <c r="A28" s="62"/>
      <c r="B28" s="62" t="s">
        <v>32</v>
      </c>
      <c r="C28" s="63" t="s">
        <v>21</v>
      </c>
      <c r="D28" s="58"/>
      <c r="E28" s="72">
        <v>30319</v>
      </c>
      <c r="F28" s="72">
        <f>E28/7</f>
        <v>4331.2857142857147</v>
      </c>
      <c r="G28" s="64">
        <f>E28+F28</f>
        <v>34650.285714285717</v>
      </c>
      <c r="H28" s="72">
        <v>32046</v>
      </c>
      <c r="I28" s="60"/>
      <c r="J28" s="60"/>
      <c r="K28" s="47">
        <v>1516</v>
      </c>
      <c r="N28" s="57">
        <f t="shared" si="1"/>
        <v>33562</v>
      </c>
    </row>
    <row r="29" spans="1:16" s="70" customFormat="1" ht="15.75" x14ac:dyDescent="0.25">
      <c r="A29" s="66">
        <v>3</v>
      </c>
      <c r="B29" s="66" t="s">
        <v>35</v>
      </c>
      <c r="C29" s="67" t="s">
        <v>21</v>
      </c>
      <c r="D29" s="58">
        <v>651947</v>
      </c>
      <c r="E29" s="68">
        <f>E30+E31+E32</f>
        <v>430236</v>
      </c>
      <c r="F29" s="68">
        <f>F30+F31+F32</f>
        <v>61462.285714285717</v>
      </c>
      <c r="G29" s="68">
        <f>G30+G31+G32</f>
        <v>491698.28571428574</v>
      </c>
      <c r="H29" s="68">
        <f>H30+H31+H32</f>
        <v>424592</v>
      </c>
      <c r="I29" s="60">
        <f>G29/H29</f>
        <v>1.1580488697721241</v>
      </c>
      <c r="J29" s="73">
        <f>G29/D29</f>
        <v>0.75419978267295618</v>
      </c>
      <c r="K29" s="70">
        <f>K30+K31+K32</f>
        <v>103197</v>
      </c>
      <c r="L29" s="71"/>
      <c r="N29" s="57">
        <f t="shared" si="1"/>
        <v>527789</v>
      </c>
    </row>
    <row r="30" spans="1:16" ht="15.75" x14ac:dyDescent="0.25">
      <c r="A30" s="62"/>
      <c r="B30" s="62" t="s">
        <v>29</v>
      </c>
      <c r="C30" s="63" t="s">
        <v>21</v>
      </c>
      <c r="D30" s="58"/>
      <c r="E30" s="72">
        <v>61414</v>
      </c>
      <c r="F30" s="72">
        <f>E30/7</f>
        <v>8773.4285714285706</v>
      </c>
      <c r="G30" s="64">
        <f t="shared" si="8"/>
        <v>70187.428571428565</v>
      </c>
      <c r="H30" s="72">
        <v>70103</v>
      </c>
      <c r="I30" s="60"/>
      <c r="J30" s="60"/>
      <c r="K30" s="47">
        <v>2854</v>
      </c>
      <c r="N30" s="57">
        <f t="shared" si="1"/>
        <v>72957</v>
      </c>
    </row>
    <row r="31" spans="1:16" ht="15.75" x14ac:dyDescent="0.25">
      <c r="A31" s="62"/>
      <c r="B31" s="62" t="s">
        <v>34</v>
      </c>
      <c r="C31" s="63" t="s">
        <v>21</v>
      </c>
      <c r="D31" s="58"/>
      <c r="E31" s="72">
        <v>91735</v>
      </c>
      <c r="F31" s="72">
        <f>E31/7</f>
        <v>13105</v>
      </c>
      <c r="G31" s="64">
        <f t="shared" si="8"/>
        <v>104840</v>
      </c>
      <c r="H31" s="72">
        <v>94304</v>
      </c>
      <c r="I31" s="60"/>
      <c r="J31" s="60"/>
      <c r="K31" s="47">
        <v>3200</v>
      </c>
      <c r="N31" s="57">
        <f t="shared" si="1"/>
        <v>97504</v>
      </c>
    </row>
    <row r="32" spans="1:16" ht="15.75" customHeight="1" x14ac:dyDescent="0.25">
      <c r="A32" s="62"/>
      <c r="B32" s="62" t="s">
        <v>32</v>
      </c>
      <c r="C32" s="63" t="s">
        <v>21</v>
      </c>
      <c r="D32" s="58"/>
      <c r="E32" s="72">
        <v>277087</v>
      </c>
      <c r="F32" s="72">
        <f>E32/7</f>
        <v>39583.857142857145</v>
      </c>
      <c r="G32" s="64">
        <f t="shared" si="8"/>
        <v>316670.85714285716</v>
      </c>
      <c r="H32" s="72">
        <v>260185</v>
      </c>
      <c r="I32" s="60"/>
      <c r="J32" s="60"/>
      <c r="K32" s="47">
        <v>97143</v>
      </c>
      <c r="N32" s="57">
        <f t="shared" si="1"/>
        <v>357328</v>
      </c>
    </row>
    <row r="33" spans="1:12" s="70" customFormat="1" ht="15.75" x14ac:dyDescent="0.25">
      <c r="A33" s="66">
        <v>4</v>
      </c>
      <c r="B33" s="66" t="s">
        <v>43</v>
      </c>
      <c r="C33" s="67" t="s">
        <v>21</v>
      </c>
      <c r="D33" s="58">
        <v>89834</v>
      </c>
      <c r="E33" s="74">
        <v>2545</v>
      </c>
      <c r="F33" s="74">
        <f t="shared" ref="F33:G33" si="9">F15</f>
        <v>363.57142857142856</v>
      </c>
      <c r="G33" s="74">
        <f t="shared" si="9"/>
        <v>2908.5714285714284</v>
      </c>
      <c r="H33" s="71">
        <v>50469</v>
      </c>
      <c r="I33" s="60"/>
      <c r="J33" s="73"/>
      <c r="L33" s="71"/>
    </row>
    <row r="34" spans="1:12" ht="23.25" customHeight="1" x14ac:dyDescent="0.25">
      <c r="A34" s="142">
        <v>5</v>
      </c>
      <c r="B34" s="66" t="s">
        <v>53</v>
      </c>
      <c r="C34" s="67" t="s">
        <v>21</v>
      </c>
      <c r="D34" s="143">
        <v>79435</v>
      </c>
      <c r="E34" s="74">
        <v>66592</v>
      </c>
      <c r="F34" s="74">
        <f>E34/7</f>
        <v>9513.1428571428569</v>
      </c>
      <c r="G34" s="143">
        <f>F34+E34</f>
        <v>76105.142857142855</v>
      </c>
      <c r="H34" s="74">
        <v>54909</v>
      </c>
      <c r="I34" s="144">
        <f>G34/H34</f>
        <v>1.3860231083637082</v>
      </c>
      <c r="J34" s="75"/>
    </row>
    <row r="35" spans="1:12" x14ac:dyDescent="0.25">
      <c r="A35" s="76"/>
      <c r="B35" s="76"/>
      <c r="C35" s="77"/>
      <c r="D35" s="78"/>
      <c r="E35" s="76"/>
      <c r="F35" s="76"/>
      <c r="G35" s="76"/>
      <c r="H35" s="78"/>
      <c r="I35" s="76"/>
      <c r="J35" s="76"/>
    </row>
    <row r="36" spans="1:12" ht="43.5" customHeight="1" x14ac:dyDescent="0.25">
      <c r="A36" s="255"/>
      <c r="B36" s="256"/>
      <c r="C36" s="256"/>
      <c r="D36" s="256"/>
      <c r="E36" s="256"/>
      <c r="F36" s="256"/>
      <c r="G36" s="256"/>
      <c r="H36" s="256"/>
      <c r="I36" s="256"/>
      <c r="J36" s="256"/>
    </row>
    <row r="37" spans="1:12" ht="16.5" customHeight="1" x14ac:dyDescent="0.25">
      <c r="A37" s="79"/>
      <c r="B37" s="79"/>
      <c r="C37" s="77"/>
      <c r="D37" s="78"/>
      <c r="E37" s="76"/>
      <c r="F37" s="76"/>
      <c r="G37" s="76"/>
      <c r="H37" s="78"/>
      <c r="I37" s="76"/>
      <c r="J37" s="76"/>
    </row>
    <row r="38" spans="1:12" ht="15.75" x14ac:dyDescent="0.25">
      <c r="A38" s="79"/>
      <c r="B38" s="79"/>
      <c r="C38" s="77"/>
      <c r="D38" s="78"/>
      <c r="E38" s="76"/>
      <c r="F38" s="76"/>
      <c r="G38" s="76"/>
      <c r="H38" s="78"/>
      <c r="I38" s="76"/>
      <c r="J38" s="76"/>
    </row>
    <row r="39" spans="1:12" ht="15.75" x14ac:dyDescent="0.25">
      <c r="A39" s="79"/>
      <c r="B39" s="79"/>
      <c r="C39" s="77"/>
      <c r="D39" s="78"/>
      <c r="E39" s="76"/>
      <c r="F39" s="76"/>
      <c r="G39" s="76"/>
      <c r="H39" s="78"/>
      <c r="I39" s="76"/>
      <c r="J39" s="76"/>
    </row>
    <row r="40" spans="1:12" ht="15.75" x14ac:dyDescent="0.25">
      <c r="A40" s="79"/>
      <c r="B40" s="79"/>
      <c r="C40" s="77"/>
      <c r="D40" s="78"/>
      <c r="E40" s="76"/>
      <c r="F40" s="76"/>
      <c r="G40" s="76"/>
      <c r="H40" s="78"/>
      <c r="I40" s="76"/>
      <c r="J40" s="76"/>
    </row>
    <row r="41" spans="1:12" ht="15.75" x14ac:dyDescent="0.25">
      <c r="A41" s="79"/>
      <c r="B41" s="79"/>
      <c r="C41" s="77"/>
      <c r="D41" s="78"/>
      <c r="E41" s="76"/>
      <c r="F41" s="76"/>
      <c r="G41" s="76"/>
      <c r="H41" s="78"/>
      <c r="I41" s="76"/>
      <c r="J41" s="76"/>
    </row>
    <row r="42" spans="1:12" ht="15.75" x14ac:dyDescent="0.25">
      <c r="A42" s="246"/>
      <c r="B42" s="246"/>
      <c r="C42" s="77"/>
      <c r="D42" s="78"/>
      <c r="E42" s="76"/>
      <c r="F42" s="76"/>
      <c r="G42" s="76"/>
      <c r="H42" s="78"/>
      <c r="I42" s="76"/>
      <c r="J42" s="76"/>
    </row>
    <row r="43" spans="1:12" ht="15.75" x14ac:dyDescent="0.25">
      <c r="A43" s="241"/>
      <c r="B43" s="241"/>
      <c r="C43" s="77"/>
      <c r="D43" s="78"/>
      <c r="E43" s="76"/>
      <c r="F43" s="76"/>
      <c r="G43" s="76"/>
      <c r="H43" s="78"/>
      <c r="I43" s="76"/>
      <c r="J43" s="76"/>
    </row>
    <row r="44" spans="1:12" x14ac:dyDescent="0.25">
      <c r="A44" s="76"/>
      <c r="B44" s="76"/>
      <c r="C44" s="77"/>
      <c r="D44" s="78"/>
      <c r="E44" s="76"/>
      <c r="F44" s="76"/>
      <c r="G44" s="76"/>
      <c r="H44" s="78"/>
      <c r="I44" s="76"/>
      <c r="J44" s="76"/>
    </row>
    <row r="45" spans="1:12" x14ac:dyDescent="0.25">
      <c r="A45" s="76"/>
      <c r="B45" s="76"/>
      <c r="C45" s="77"/>
      <c r="D45" s="78"/>
      <c r="E45" s="76"/>
      <c r="F45" s="76"/>
      <c r="G45" s="76"/>
      <c r="H45" s="78"/>
      <c r="I45" s="76"/>
      <c r="J45" s="76"/>
    </row>
    <row r="46" spans="1:12" x14ac:dyDescent="0.25">
      <c r="A46" s="76"/>
      <c r="B46" s="76"/>
      <c r="C46" s="77"/>
      <c r="D46" s="78"/>
      <c r="E46" s="76"/>
      <c r="F46" s="76"/>
      <c r="G46" s="76"/>
      <c r="H46" s="78"/>
      <c r="I46" s="76"/>
      <c r="J46" s="76"/>
    </row>
    <row r="47" spans="1:12" x14ac:dyDescent="0.25">
      <c r="A47" s="76"/>
      <c r="B47" s="76"/>
      <c r="C47" s="77"/>
      <c r="D47" s="78"/>
      <c r="E47" s="76"/>
      <c r="F47" s="76"/>
      <c r="G47" s="76"/>
      <c r="H47" s="78"/>
      <c r="I47" s="76"/>
      <c r="J47" s="76"/>
    </row>
    <row r="48" spans="1:12"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sheetData>
  <mergeCells count="11">
    <mergeCell ref="A42:B42"/>
    <mergeCell ref="A43:B43"/>
    <mergeCell ref="A1:J1"/>
    <mergeCell ref="A5:J5"/>
    <mergeCell ref="A6:J6"/>
    <mergeCell ref="A8:A9"/>
    <mergeCell ref="B8:B9"/>
    <mergeCell ref="C8:C9"/>
    <mergeCell ref="D8:D9"/>
    <mergeCell ref="E8:J8"/>
    <mergeCell ref="A36:J36"/>
  </mergeCells>
  <pageMargins left="0.45" right="0.2"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M56"/>
  <sheetViews>
    <sheetView topLeftCell="A16" workbookViewId="0">
      <selection activeCell="H18" sqref="H18:H34"/>
    </sheetView>
  </sheetViews>
  <sheetFormatPr defaultRowHeight="15" x14ac:dyDescent="0.25"/>
  <cols>
    <col min="1" max="1" width="4.28515625" style="47" customWidth="1"/>
    <col min="2" max="2" width="16.140625" style="47" customWidth="1"/>
    <col min="3" max="3" width="10.28515625" style="80" bestFit="1" customWidth="1"/>
    <col min="4" max="4" width="10.5703125" style="48" customWidth="1"/>
    <col min="5" max="5" width="8.5703125" style="47" customWidth="1"/>
    <col min="6" max="6" width="9.85546875" style="47" customWidth="1"/>
    <col min="7" max="7" width="9.140625" style="47" customWidth="1"/>
    <col min="8" max="8" width="8.7109375" style="48" customWidth="1"/>
    <col min="9" max="9" width="8.85546875" style="47" customWidth="1"/>
    <col min="10" max="10" width="9" style="47" customWidth="1"/>
    <col min="11" max="12" width="9.140625" style="47"/>
    <col min="13" max="13" width="11.140625" style="48" bestFit="1" customWidth="1"/>
    <col min="14" max="16384" width="9.140625" style="47"/>
  </cols>
  <sheetData>
    <row r="1" spans="1:13" ht="18.75" x14ac:dyDescent="0.3">
      <c r="A1" s="242" t="s">
        <v>37</v>
      </c>
      <c r="B1" s="242"/>
      <c r="C1" s="242"/>
      <c r="D1" s="242"/>
      <c r="E1" s="242"/>
      <c r="F1" s="242"/>
      <c r="G1" s="242"/>
      <c r="H1" s="242"/>
      <c r="I1" s="242"/>
      <c r="J1" s="242"/>
    </row>
    <row r="2" spans="1:13" x14ac:dyDescent="0.25">
      <c r="A2" s="49" t="s">
        <v>46</v>
      </c>
      <c r="B2" s="49"/>
      <c r="C2" s="50"/>
      <c r="D2" s="51"/>
      <c r="E2" s="49"/>
      <c r="F2" s="49"/>
      <c r="G2" s="49" t="s">
        <v>83</v>
      </c>
      <c r="H2" s="51"/>
      <c r="I2" s="49"/>
      <c r="J2" s="49"/>
    </row>
    <row r="3" spans="1:13" x14ac:dyDescent="0.25">
      <c r="A3" s="49" t="s">
        <v>82</v>
      </c>
      <c r="B3" s="49"/>
      <c r="C3" s="50"/>
      <c r="D3" s="51"/>
      <c r="E3" s="49"/>
      <c r="F3" s="49"/>
      <c r="G3" s="49" t="s">
        <v>84</v>
      </c>
      <c r="H3" s="51"/>
      <c r="I3" s="49"/>
      <c r="J3" s="49"/>
    </row>
    <row r="4" spans="1:13" x14ac:dyDescent="0.25">
      <c r="A4" s="49"/>
      <c r="B4" s="49"/>
      <c r="C4" s="50"/>
      <c r="D4" s="51"/>
      <c r="E4" s="49"/>
      <c r="F4" s="49"/>
      <c r="G4" s="49"/>
      <c r="H4" s="51"/>
      <c r="I4" s="49"/>
      <c r="J4" s="49"/>
    </row>
    <row r="6" spans="1:13" ht="39" customHeight="1" x14ac:dyDescent="0.3">
      <c r="A6" s="259" t="s">
        <v>66</v>
      </c>
      <c r="B6" s="259"/>
      <c r="C6" s="259"/>
      <c r="D6" s="259"/>
      <c r="E6" s="259"/>
      <c r="F6" s="259"/>
      <c r="G6" s="259"/>
      <c r="H6" s="259"/>
      <c r="I6" s="259"/>
      <c r="J6" s="259"/>
    </row>
    <row r="7" spans="1:13" ht="16.5" x14ac:dyDescent="0.25">
      <c r="A7" s="243" t="s">
        <v>81</v>
      </c>
      <c r="B7" s="243"/>
      <c r="C7" s="243"/>
      <c r="D7" s="243"/>
      <c r="E7" s="243"/>
      <c r="F7" s="243"/>
      <c r="G7" s="243"/>
      <c r="H7" s="243"/>
      <c r="I7" s="243"/>
      <c r="J7" s="243"/>
    </row>
    <row r="9" spans="1:13" x14ac:dyDescent="0.25">
      <c r="A9" s="244" t="s">
        <v>4</v>
      </c>
      <c r="B9" s="244" t="s">
        <v>5</v>
      </c>
      <c r="C9" s="244" t="s">
        <v>6</v>
      </c>
      <c r="D9" s="245" t="s">
        <v>7</v>
      </c>
      <c r="E9" s="244" t="s">
        <v>8</v>
      </c>
      <c r="F9" s="244"/>
      <c r="G9" s="244"/>
      <c r="H9" s="244"/>
      <c r="I9" s="244"/>
      <c r="J9" s="244"/>
    </row>
    <row r="10" spans="1:13" ht="85.5" x14ac:dyDescent="0.25">
      <c r="A10" s="244"/>
      <c r="B10" s="244"/>
      <c r="C10" s="244"/>
      <c r="D10" s="245"/>
      <c r="E10" s="53" t="s">
        <v>9</v>
      </c>
      <c r="F10" s="53" t="s">
        <v>10</v>
      </c>
      <c r="G10" s="53" t="s">
        <v>11</v>
      </c>
      <c r="H10" s="54" t="s">
        <v>12</v>
      </c>
      <c r="I10" s="53" t="s">
        <v>13</v>
      </c>
      <c r="J10" s="53" t="s">
        <v>14</v>
      </c>
    </row>
    <row r="11" spans="1:13" ht="15.75" thickBot="1" x14ac:dyDescent="0.3">
      <c r="A11" s="53" t="s">
        <v>15</v>
      </c>
      <c r="B11" s="53" t="s">
        <v>16</v>
      </c>
      <c r="C11" s="53" t="s">
        <v>17</v>
      </c>
      <c r="D11" s="54">
        <v>1</v>
      </c>
      <c r="E11" s="53">
        <v>2</v>
      </c>
      <c r="F11" s="53">
        <v>3</v>
      </c>
      <c r="G11" s="53">
        <v>4</v>
      </c>
      <c r="H11" s="54">
        <v>5</v>
      </c>
      <c r="I11" s="53" t="s">
        <v>18</v>
      </c>
      <c r="J11" s="53" t="s">
        <v>19</v>
      </c>
    </row>
    <row r="12" spans="1:13" s="61" customFormat="1" ht="16.5" thickBot="1" x14ac:dyDescent="0.3">
      <c r="A12" s="55"/>
      <c r="B12" s="55" t="s">
        <v>20</v>
      </c>
      <c r="C12" s="56" t="s">
        <v>21</v>
      </c>
      <c r="D12" s="58">
        <v>1064879</v>
      </c>
      <c r="E12" s="59">
        <f>E13+E14+E15+E16</f>
        <v>767861</v>
      </c>
      <c r="F12" s="59">
        <f>F13+F14+F15+F16</f>
        <v>95982.625</v>
      </c>
      <c r="G12" s="59">
        <f>G13+G14+G15+G16</f>
        <v>863843.625</v>
      </c>
      <c r="H12" s="59">
        <f>H13+H14+H15+H16</f>
        <v>763431</v>
      </c>
      <c r="I12" s="60">
        <f>G12/H12</f>
        <v>1.1315280948769437</v>
      </c>
      <c r="J12" s="60">
        <f>G12/D12</f>
        <v>0.81121294062517901</v>
      </c>
      <c r="K12" s="225">
        <v>678819</v>
      </c>
      <c r="L12" s="81">
        <f>E12/K12</f>
        <v>1.1311719324297052</v>
      </c>
      <c r="M12" s="57"/>
    </row>
    <row r="13" spans="1:13" ht="16.5" thickBot="1" x14ac:dyDescent="0.3">
      <c r="A13" s="62"/>
      <c r="B13" s="62" t="s">
        <v>22</v>
      </c>
      <c r="C13" s="63" t="s">
        <v>21</v>
      </c>
      <c r="D13" s="58"/>
      <c r="E13" s="64">
        <f>E20+E27+E31</f>
        <v>141250</v>
      </c>
      <c r="F13" s="64">
        <f>F20+F27+F31</f>
        <v>17656.25</v>
      </c>
      <c r="G13" s="64">
        <f>G20+G27+G31</f>
        <v>158906.25</v>
      </c>
      <c r="H13" s="64">
        <f>H20+H27+H31</f>
        <v>153354</v>
      </c>
      <c r="I13" s="60">
        <f>G13/H13</f>
        <v>1.0362054462224657</v>
      </c>
      <c r="J13" s="60"/>
      <c r="K13" s="226">
        <v>137392</v>
      </c>
      <c r="L13" s="81">
        <f t="shared" ref="L13:L25" si="0">E13/K13</f>
        <v>1.0280802375684173</v>
      </c>
    </row>
    <row r="14" spans="1:13" ht="16.5" thickBot="1" x14ac:dyDescent="0.3">
      <c r="A14" s="62"/>
      <c r="B14" s="62" t="s">
        <v>23</v>
      </c>
      <c r="C14" s="63" t="s">
        <v>21</v>
      </c>
      <c r="D14" s="58"/>
      <c r="E14" s="64">
        <f>E22+E28+E32</f>
        <v>198901</v>
      </c>
      <c r="F14" s="64">
        <f>F22+F28+F32</f>
        <v>24862.625</v>
      </c>
      <c r="G14" s="64">
        <f>G22+G28+G32</f>
        <v>223763.625</v>
      </c>
      <c r="H14" s="64">
        <f>H22+H28+H32</f>
        <v>202511</v>
      </c>
      <c r="I14" s="60">
        <f t="shared" ref="I14:I15" si="1">G14/H14</f>
        <v>1.104945533822854</v>
      </c>
      <c r="J14" s="60"/>
      <c r="K14" s="226">
        <v>180887</v>
      </c>
      <c r="L14" s="81">
        <f t="shared" si="0"/>
        <v>1.0995870349997512</v>
      </c>
    </row>
    <row r="15" spans="1:13" ht="16.5" thickBot="1" x14ac:dyDescent="0.3">
      <c r="A15" s="62"/>
      <c r="B15" s="62" t="s">
        <v>24</v>
      </c>
      <c r="C15" s="63" t="s">
        <v>21</v>
      </c>
      <c r="D15" s="58"/>
      <c r="E15" s="64">
        <f>E24+E29+E33</f>
        <v>424653</v>
      </c>
      <c r="F15" s="64">
        <f>F24+F29+F33</f>
        <v>53081.625</v>
      </c>
      <c r="G15" s="64">
        <f>G24+G29+G33</f>
        <v>477734.625</v>
      </c>
      <c r="H15" s="64">
        <f>H24+H29+H33</f>
        <v>404152</v>
      </c>
      <c r="I15" s="60">
        <f t="shared" si="1"/>
        <v>1.1820667100496842</v>
      </c>
      <c r="J15" s="60"/>
      <c r="K15" s="226">
        <v>358299</v>
      </c>
      <c r="L15" s="81">
        <f t="shared" si="0"/>
        <v>1.1851916974370567</v>
      </c>
    </row>
    <row r="16" spans="1:13" ht="16.5" thickBot="1" x14ac:dyDescent="0.3">
      <c r="A16" s="62"/>
      <c r="B16" s="62" t="s">
        <v>43</v>
      </c>
      <c r="C16" s="63" t="s">
        <v>21</v>
      </c>
      <c r="D16" s="58"/>
      <c r="E16" s="64">
        <v>3057</v>
      </c>
      <c r="F16" s="64">
        <f>E16/8</f>
        <v>382.125</v>
      </c>
      <c r="G16" s="64">
        <f>E16+F16</f>
        <v>3439.125</v>
      </c>
      <c r="H16" s="64">
        <v>3414</v>
      </c>
      <c r="I16" s="60"/>
      <c r="J16" s="60"/>
      <c r="K16" s="226">
        <v>2241</v>
      </c>
      <c r="L16" s="81">
        <f t="shared" si="0"/>
        <v>1.3641231593038823</v>
      </c>
    </row>
    <row r="17" spans="1:13" ht="16.5" thickBot="1" x14ac:dyDescent="0.3">
      <c r="A17" s="62"/>
      <c r="B17" s="62" t="s">
        <v>26</v>
      </c>
      <c r="C17" s="63"/>
      <c r="D17" s="189" t="s">
        <v>52</v>
      </c>
      <c r="E17" s="64"/>
      <c r="F17" s="64"/>
      <c r="G17" s="64"/>
      <c r="H17" s="64"/>
      <c r="I17" s="60"/>
      <c r="J17" s="60"/>
      <c r="K17" s="227"/>
      <c r="L17" s="81" t="e">
        <f t="shared" si="0"/>
        <v>#DIV/0!</v>
      </c>
    </row>
    <row r="18" spans="1:13" s="70" customFormat="1" ht="16.5" thickBot="1" x14ac:dyDescent="0.3">
      <c r="A18" s="66">
        <v>1</v>
      </c>
      <c r="B18" s="66" t="s">
        <v>27</v>
      </c>
      <c r="C18" s="67" t="s">
        <v>21</v>
      </c>
      <c r="D18" s="201">
        <v>317261</v>
      </c>
      <c r="E18" s="68">
        <f t="shared" ref="E18:H19" si="2">E20+E22+E24</f>
        <v>217053</v>
      </c>
      <c r="F18" s="68">
        <f t="shared" si="2"/>
        <v>27131.625</v>
      </c>
      <c r="G18" s="68">
        <f t="shared" si="2"/>
        <v>244184.625</v>
      </c>
      <c r="H18" s="68">
        <f>H20+H22+H24</f>
        <v>219352</v>
      </c>
      <c r="I18" s="60">
        <f>G18/H18</f>
        <v>1.1132090202049674</v>
      </c>
      <c r="J18" s="60"/>
      <c r="K18" s="224">
        <v>195350</v>
      </c>
      <c r="L18" s="81">
        <f t="shared" si="0"/>
        <v>1.1110980291783978</v>
      </c>
      <c r="M18" s="48"/>
    </row>
    <row r="19" spans="1:13" ht="15.75" customHeight="1" thickBot="1" x14ac:dyDescent="0.3">
      <c r="A19" s="66"/>
      <c r="B19" s="66"/>
      <c r="C19" s="67" t="s">
        <v>28</v>
      </c>
      <c r="D19" s="201">
        <v>32555</v>
      </c>
      <c r="E19" s="68">
        <f t="shared" si="2"/>
        <v>22520</v>
      </c>
      <c r="F19" s="68">
        <f t="shared" si="2"/>
        <v>2815</v>
      </c>
      <c r="G19" s="68">
        <f t="shared" si="2"/>
        <v>25335</v>
      </c>
      <c r="H19" s="68">
        <f t="shared" si="2"/>
        <v>22503</v>
      </c>
      <c r="I19" s="60">
        <f>G19/H19</f>
        <v>1.1258498866817757</v>
      </c>
      <c r="J19" s="60">
        <f>G19/D19</f>
        <v>0.77822147135616648</v>
      </c>
      <c r="K19" s="224">
        <v>19953</v>
      </c>
      <c r="L19" s="81">
        <f t="shared" si="0"/>
        <v>1.1286523329825089</v>
      </c>
    </row>
    <row r="20" spans="1:13" ht="15.75" customHeight="1" thickBot="1" x14ac:dyDescent="0.3">
      <c r="A20" s="62"/>
      <c r="B20" s="62" t="s">
        <v>29</v>
      </c>
      <c r="C20" s="63" t="s">
        <v>30</v>
      </c>
      <c r="D20" s="58"/>
      <c r="E20" s="72">
        <v>69441</v>
      </c>
      <c r="F20" s="72">
        <f t="shared" ref="F20:F25" si="3">E20/8</f>
        <v>8680.125</v>
      </c>
      <c r="G20" s="64">
        <f>F20+E20</f>
        <v>78121.125</v>
      </c>
      <c r="H20" s="106">
        <f>71785+162</f>
        <v>71947</v>
      </c>
      <c r="I20" s="60"/>
      <c r="J20" s="60"/>
      <c r="K20" s="228">
        <v>64211</v>
      </c>
      <c r="L20" s="81">
        <f t="shared" si="0"/>
        <v>1.0814502188098611</v>
      </c>
    </row>
    <row r="21" spans="1:13" ht="15.75" customHeight="1" thickBot="1" x14ac:dyDescent="0.3">
      <c r="A21" s="62"/>
      <c r="B21" s="62"/>
      <c r="C21" s="63" t="s">
        <v>28</v>
      </c>
      <c r="D21" s="58"/>
      <c r="E21" s="72">
        <v>7040</v>
      </c>
      <c r="F21" s="72">
        <f t="shared" si="3"/>
        <v>880</v>
      </c>
      <c r="G21" s="64">
        <f t="shared" ref="G21:G33" si="4">F21+E21</f>
        <v>7920</v>
      </c>
      <c r="H21" s="106">
        <f>7052+17</f>
        <v>7069</v>
      </c>
      <c r="I21" s="60"/>
      <c r="J21" s="60"/>
      <c r="K21" s="228">
        <v>6277</v>
      </c>
      <c r="L21" s="81">
        <f t="shared" si="0"/>
        <v>1.1215548829058468</v>
      </c>
    </row>
    <row r="22" spans="1:13" ht="16.5" thickBot="1" x14ac:dyDescent="0.3">
      <c r="A22" s="62"/>
      <c r="B22" s="62" t="s">
        <v>31</v>
      </c>
      <c r="C22" s="63" t="s">
        <v>30</v>
      </c>
      <c r="D22" s="58"/>
      <c r="E22" s="72">
        <v>72173</v>
      </c>
      <c r="F22" s="72">
        <f t="shared" si="3"/>
        <v>9021.625</v>
      </c>
      <c r="G22" s="64">
        <f t="shared" si="4"/>
        <v>81194.625</v>
      </c>
      <c r="H22" s="106">
        <f>72881+283</f>
        <v>73164</v>
      </c>
      <c r="I22" s="60"/>
      <c r="J22" s="60"/>
      <c r="K22" s="228">
        <v>65071</v>
      </c>
      <c r="L22" s="81">
        <f t="shared" si="0"/>
        <v>1.1091423214642468</v>
      </c>
      <c r="M22" s="57"/>
    </row>
    <row r="23" spans="1:13" ht="16.5" thickBot="1" x14ac:dyDescent="0.3">
      <c r="A23" s="62"/>
      <c r="B23" s="62"/>
      <c r="C23" s="63" t="s">
        <v>28</v>
      </c>
      <c r="D23" s="58"/>
      <c r="E23" s="72">
        <v>7308</v>
      </c>
      <c r="F23" s="72">
        <f t="shared" si="3"/>
        <v>913.5</v>
      </c>
      <c r="G23" s="64">
        <f t="shared" si="4"/>
        <v>8221.5</v>
      </c>
      <c r="H23" s="106">
        <f>7112+25</f>
        <v>7137</v>
      </c>
      <c r="I23" s="60"/>
      <c r="J23" s="60"/>
      <c r="K23" s="228">
        <v>6320</v>
      </c>
      <c r="L23" s="81">
        <f t="shared" si="0"/>
        <v>1.1563291139240506</v>
      </c>
    </row>
    <row r="24" spans="1:13" ht="16.5" thickBot="1" x14ac:dyDescent="0.3">
      <c r="A24" s="62"/>
      <c r="B24" s="62" t="s">
        <v>32</v>
      </c>
      <c r="C24" s="63" t="s">
        <v>30</v>
      </c>
      <c r="D24" s="58"/>
      <c r="E24" s="72">
        <v>75439</v>
      </c>
      <c r="F24" s="72">
        <f t="shared" si="3"/>
        <v>9429.875</v>
      </c>
      <c r="G24" s="64">
        <f t="shared" si="4"/>
        <v>84868.875</v>
      </c>
      <c r="H24" s="106">
        <f>72037+2204</f>
        <v>74241</v>
      </c>
      <c r="I24" s="60"/>
      <c r="J24" s="60"/>
      <c r="K24" s="228">
        <v>66068</v>
      </c>
      <c r="L24" s="81">
        <f t="shared" si="0"/>
        <v>1.1418387116304414</v>
      </c>
    </row>
    <row r="25" spans="1:13" ht="16.5" thickBot="1" x14ac:dyDescent="0.3">
      <c r="A25" s="62"/>
      <c r="B25" s="62"/>
      <c r="C25" s="63" t="s">
        <v>28</v>
      </c>
      <c r="D25" s="58"/>
      <c r="E25" s="72">
        <v>8172</v>
      </c>
      <c r="F25" s="72">
        <f t="shared" si="3"/>
        <v>1021.5</v>
      </c>
      <c r="G25" s="64">
        <f t="shared" si="4"/>
        <v>9193.5</v>
      </c>
      <c r="H25" s="106">
        <f>7915+382</f>
        <v>8297</v>
      </c>
      <c r="I25" s="60"/>
      <c r="J25" s="60"/>
      <c r="K25" s="228">
        <v>7356</v>
      </c>
      <c r="L25" s="81">
        <f t="shared" si="0"/>
        <v>1.1109298531810767</v>
      </c>
    </row>
    <row r="26" spans="1:13" s="70" customFormat="1" ht="15.75" x14ac:dyDescent="0.25">
      <c r="A26" s="66">
        <v>2</v>
      </c>
      <c r="B26" s="66" t="s">
        <v>33</v>
      </c>
      <c r="C26" s="67" t="s">
        <v>21</v>
      </c>
      <c r="D26" s="229">
        <v>90487</v>
      </c>
      <c r="E26" s="68">
        <f>E27+E28+E29</f>
        <v>60804</v>
      </c>
      <c r="F26" s="68">
        <f>F27+F28+F29</f>
        <v>7600.5</v>
      </c>
      <c r="G26" s="68">
        <f>G27+G28+G29</f>
        <v>68404.5</v>
      </c>
      <c r="H26" s="68">
        <f>H27+H28+H29</f>
        <v>64041</v>
      </c>
      <c r="I26" s="60">
        <f>G26/H26</f>
        <v>1.0681360378507518</v>
      </c>
      <c r="J26" s="73">
        <f>G26/D26</f>
        <v>0.7559594195851338</v>
      </c>
      <c r="K26" s="81"/>
      <c r="M26" s="71"/>
    </row>
    <row r="27" spans="1:13" ht="15.75" x14ac:dyDescent="0.25">
      <c r="A27" s="62"/>
      <c r="B27" s="62" t="s">
        <v>29</v>
      </c>
      <c r="C27" s="63" t="s">
        <v>21</v>
      </c>
      <c r="D27" s="58"/>
      <c r="E27" s="72">
        <v>2778</v>
      </c>
      <c r="F27" s="72">
        <f>E27/8</f>
        <v>347.25</v>
      </c>
      <c r="G27" s="64">
        <f>E27+F27</f>
        <v>3125.25</v>
      </c>
      <c r="H27" s="106">
        <f>3349+67</f>
        <v>3416</v>
      </c>
      <c r="I27" s="60"/>
      <c r="J27" s="60"/>
      <c r="K27" s="81"/>
    </row>
    <row r="28" spans="1:13" ht="15.75" x14ac:dyDescent="0.25">
      <c r="A28" s="62"/>
      <c r="B28" s="62" t="s">
        <v>34</v>
      </c>
      <c r="C28" s="63" t="s">
        <v>21</v>
      </c>
      <c r="D28" s="58"/>
      <c r="E28" s="72">
        <v>23405</v>
      </c>
      <c r="F28" s="72">
        <f>E28/8</f>
        <v>2925.625</v>
      </c>
      <c r="G28" s="64">
        <f>E28+F28</f>
        <v>26330.625</v>
      </c>
      <c r="H28" s="106">
        <f>24257+148</f>
        <v>24405</v>
      </c>
      <c r="I28" s="60"/>
      <c r="J28" s="60"/>
      <c r="K28" s="81"/>
    </row>
    <row r="29" spans="1:13" ht="15.75" customHeight="1" x14ac:dyDescent="0.25">
      <c r="A29" s="62"/>
      <c r="B29" s="62" t="s">
        <v>32</v>
      </c>
      <c r="C29" s="63" t="s">
        <v>21</v>
      </c>
      <c r="D29" s="58"/>
      <c r="E29" s="72">
        <v>34621</v>
      </c>
      <c r="F29" s="72">
        <f>E29/8</f>
        <v>4327.625</v>
      </c>
      <c r="G29" s="64">
        <f>E29+F29</f>
        <v>38948.625</v>
      </c>
      <c r="H29" s="106">
        <f>34435+1785</f>
        <v>36220</v>
      </c>
      <c r="I29" s="60"/>
      <c r="J29" s="60"/>
      <c r="K29" s="81"/>
    </row>
    <row r="30" spans="1:13" s="70" customFormat="1" ht="15.75" x14ac:dyDescent="0.25">
      <c r="A30" s="66">
        <v>3</v>
      </c>
      <c r="B30" s="66" t="s">
        <v>35</v>
      </c>
      <c r="C30" s="67" t="s">
        <v>21</v>
      </c>
      <c r="D30" s="201">
        <v>651947</v>
      </c>
      <c r="E30" s="68">
        <f>E31+E32+E33</f>
        <v>486947</v>
      </c>
      <c r="F30" s="68">
        <f>F31+F32+F33</f>
        <v>60868.375</v>
      </c>
      <c r="G30" s="68">
        <f>G31+G32+G33</f>
        <v>547815.375</v>
      </c>
      <c r="H30" s="68">
        <f>H31+H32+H33</f>
        <v>476624</v>
      </c>
      <c r="I30" s="60">
        <f>G30/H30</f>
        <v>1.149365904780288</v>
      </c>
      <c r="J30" s="73">
        <f>G30/D30</f>
        <v>0.84027593500698672</v>
      </c>
      <c r="K30" s="81"/>
      <c r="M30" s="71"/>
    </row>
    <row r="31" spans="1:13" ht="15.75" x14ac:dyDescent="0.25">
      <c r="A31" s="62"/>
      <c r="B31" s="62" t="s">
        <v>29</v>
      </c>
      <c r="C31" s="63" t="s">
        <v>21</v>
      </c>
      <c r="D31" s="58"/>
      <c r="E31" s="72">
        <v>69031</v>
      </c>
      <c r="F31" s="72">
        <f>E31/8</f>
        <v>8628.875</v>
      </c>
      <c r="G31" s="64">
        <f t="shared" si="4"/>
        <v>77659.875</v>
      </c>
      <c r="H31" s="106">
        <f>74712+3279</f>
        <v>77991</v>
      </c>
      <c r="I31" s="60"/>
      <c r="J31" s="60"/>
      <c r="K31" s="81"/>
    </row>
    <row r="32" spans="1:13" ht="15.75" x14ac:dyDescent="0.25">
      <c r="A32" s="62"/>
      <c r="B32" s="62" t="s">
        <v>34</v>
      </c>
      <c r="C32" s="63" t="s">
        <v>21</v>
      </c>
      <c r="D32" s="58"/>
      <c r="E32" s="72">
        <v>103323</v>
      </c>
      <c r="F32" s="72">
        <f>E32/8</f>
        <v>12915.375</v>
      </c>
      <c r="G32" s="64">
        <f t="shared" si="4"/>
        <v>116238.375</v>
      </c>
      <c r="H32" s="106">
        <f>101448+3494</f>
        <v>104942</v>
      </c>
      <c r="I32" s="60"/>
      <c r="J32" s="60"/>
      <c r="K32" s="81"/>
    </row>
    <row r="33" spans="1:13" ht="15.75" customHeight="1" x14ac:dyDescent="0.25">
      <c r="A33" s="62"/>
      <c r="B33" s="62" t="s">
        <v>32</v>
      </c>
      <c r="C33" s="63" t="s">
        <v>21</v>
      </c>
      <c r="D33" s="58"/>
      <c r="E33" s="72">
        <v>314593</v>
      </c>
      <c r="F33" s="72">
        <f>E33/8</f>
        <v>39324.125</v>
      </c>
      <c r="G33" s="64">
        <f t="shared" si="4"/>
        <v>353917.125</v>
      </c>
      <c r="H33" s="106">
        <f>181390+112301</f>
        <v>293691</v>
      </c>
      <c r="I33" s="60"/>
      <c r="J33" s="60"/>
      <c r="K33" s="81"/>
    </row>
    <row r="34" spans="1:13" s="70" customFormat="1" ht="15.75" x14ac:dyDescent="0.25">
      <c r="A34" s="66">
        <v>4</v>
      </c>
      <c r="B34" s="66" t="s">
        <v>25</v>
      </c>
      <c r="C34" s="67" t="s">
        <v>21</v>
      </c>
      <c r="D34" s="201">
        <v>89834</v>
      </c>
      <c r="E34" s="71">
        <v>71535</v>
      </c>
      <c r="F34" s="74">
        <f>E34/8*0.95</f>
        <v>8494.78125</v>
      </c>
      <c r="G34" s="68">
        <f>F34+E34</f>
        <v>80029.78125</v>
      </c>
      <c r="H34" s="107">
        <v>56852</v>
      </c>
      <c r="I34" s="60">
        <f>G34/H34</f>
        <v>1.4076862951171463</v>
      </c>
      <c r="J34" s="73">
        <f>G34/D34</f>
        <v>0.89086293886501766</v>
      </c>
      <c r="K34" s="81"/>
      <c r="M34" s="71"/>
    </row>
    <row r="35" spans="1:13" x14ac:dyDescent="0.25">
      <c r="A35" s="62"/>
      <c r="B35" s="62"/>
      <c r="C35" s="63"/>
      <c r="D35" s="143"/>
      <c r="E35" s="62"/>
      <c r="F35" s="62"/>
      <c r="G35" s="62"/>
      <c r="H35" s="64"/>
      <c r="I35" s="75"/>
      <c r="J35" s="75"/>
    </row>
    <row r="36" spans="1:13" x14ac:dyDescent="0.25">
      <c r="A36" s="76"/>
      <c r="B36" s="76"/>
      <c r="C36" s="77"/>
      <c r="D36" s="78"/>
      <c r="E36" s="76"/>
      <c r="F36" s="76"/>
      <c r="G36" s="76"/>
      <c r="H36" s="78"/>
      <c r="I36" s="76"/>
      <c r="J36" s="76"/>
    </row>
    <row r="37" spans="1:13" ht="33.75" customHeight="1" x14ac:dyDescent="0.25">
      <c r="A37" s="255" t="s">
        <v>51</v>
      </c>
      <c r="B37" s="256"/>
      <c r="C37" s="256"/>
      <c r="D37" s="256"/>
      <c r="E37" s="256"/>
      <c r="F37" s="256"/>
      <c r="G37" s="256"/>
      <c r="H37" s="256"/>
      <c r="I37" s="256"/>
      <c r="J37" s="256"/>
    </row>
    <row r="38" spans="1:13" ht="16.5" customHeight="1" x14ac:dyDescent="0.25">
      <c r="A38" s="79"/>
      <c r="B38" s="79"/>
      <c r="C38" s="77"/>
      <c r="D38" s="78"/>
      <c r="E38" s="76"/>
      <c r="F38" s="76"/>
      <c r="G38" s="76"/>
      <c r="H38" s="78"/>
      <c r="I38" s="76"/>
      <c r="J38" s="76"/>
    </row>
    <row r="39" spans="1:13" ht="15.75" x14ac:dyDescent="0.25">
      <c r="A39" s="79"/>
      <c r="B39" s="79"/>
      <c r="C39" s="77"/>
      <c r="D39" s="78"/>
      <c r="E39" s="76"/>
      <c r="F39" s="76"/>
      <c r="G39" s="76"/>
      <c r="H39" s="78"/>
      <c r="I39" s="76"/>
      <c r="J39" s="76"/>
    </row>
    <row r="40" spans="1:13" ht="15.75" x14ac:dyDescent="0.25">
      <c r="A40" s="79"/>
      <c r="B40" s="79"/>
      <c r="C40" s="77"/>
      <c r="D40" s="78"/>
      <c r="E40" s="76"/>
      <c r="F40" s="76"/>
      <c r="G40" s="76"/>
      <c r="H40" s="78"/>
      <c r="I40" s="76"/>
      <c r="J40" s="76"/>
    </row>
    <row r="41" spans="1:13" ht="15.75" x14ac:dyDescent="0.25">
      <c r="A41" s="79"/>
      <c r="B41" s="79"/>
      <c r="C41" s="77"/>
      <c r="D41" s="78"/>
      <c r="E41" s="76"/>
      <c r="F41" s="76"/>
      <c r="G41" s="76"/>
      <c r="H41" s="78"/>
      <c r="I41" s="76"/>
      <c r="J41" s="76"/>
    </row>
    <row r="42" spans="1:13" ht="15.75" x14ac:dyDescent="0.25">
      <c r="A42" s="79"/>
      <c r="B42" s="79"/>
      <c r="C42" s="77"/>
      <c r="D42" s="78"/>
      <c r="E42" s="76"/>
      <c r="F42" s="76"/>
      <c r="G42" s="76"/>
      <c r="H42" s="78"/>
      <c r="I42" s="76"/>
      <c r="J42" s="76"/>
    </row>
    <row r="43" spans="1:13" ht="15.75" x14ac:dyDescent="0.25">
      <c r="A43" s="246"/>
      <c r="B43" s="246"/>
      <c r="C43" s="77"/>
      <c r="D43" s="78"/>
      <c r="E43" s="76"/>
      <c r="F43" s="76"/>
      <c r="G43" s="76"/>
      <c r="H43" s="78"/>
      <c r="I43" s="76"/>
      <c r="J43" s="76"/>
    </row>
    <row r="44" spans="1:13" ht="15.75" x14ac:dyDescent="0.25">
      <c r="A44" s="241"/>
      <c r="B44" s="241"/>
      <c r="C44" s="77"/>
      <c r="D44" s="78"/>
      <c r="E44" s="76"/>
      <c r="F44" s="76"/>
      <c r="G44" s="76"/>
      <c r="H44" s="78"/>
      <c r="I44" s="76"/>
      <c r="J44" s="76"/>
    </row>
    <row r="45" spans="1:13" x14ac:dyDescent="0.25">
      <c r="A45" s="76"/>
      <c r="B45" s="76"/>
      <c r="C45" s="77"/>
      <c r="D45" s="78"/>
      <c r="E45" s="76"/>
      <c r="F45" s="76"/>
      <c r="G45" s="76"/>
      <c r="H45" s="78"/>
      <c r="I45" s="76"/>
      <c r="J45" s="76"/>
    </row>
    <row r="46" spans="1:13" x14ac:dyDescent="0.25">
      <c r="A46" s="76"/>
      <c r="B46" s="76"/>
      <c r="C46" s="77"/>
      <c r="D46" s="78"/>
      <c r="E46" s="76"/>
      <c r="F46" s="76"/>
      <c r="G46" s="76"/>
      <c r="H46" s="78"/>
      <c r="I46" s="76"/>
      <c r="J46" s="76"/>
    </row>
    <row r="47" spans="1:13" x14ac:dyDescent="0.25">
      <c r="A47" s="76"/>
      <c r="B47" s="76"/>
      <c r="C47" s="77"/>
      <c r="D47" s="78"/>
      <c r="E47" s="76"/>
      <c r="F47" s="76"/>
      <c r="G47" s="76"/>
      <c r="H47" s="78"/>
      <c r="I47" s="76"/>
      <c r="J47" s="76"/>
    </row>
    <row r="48" spans="1:13" x14ac:dyDescent="0.25">
      <c r="A48" s="76"/>
      <c r="B48" s="76"/>
      <c r="C48" s="77"/>
      <c r="D48" s="78"/>
      <c r="E48" s="76"/>
      <c r="F48" s="76"/>
      <c r="G48" s="76"/>
      <c r="H48" s="78"/>
      <c r="I48" s="76"/>
      <c r="J48" s="76"/>
    </row>
    <row r="49" spans="1:10" x14ac:dyDescent="0.25">
      <c r="A49" s="76"/>
      <c r="B49" s="76"/>
      <c r="C49" s="77"/>
      <c r="D49" s="78"/>
      <c r="E49" s="76"/>
      <c r="F49" s="76"/>
      <c r="G49" s="76"/>
      <c r="H49" s="78"/>
      <c r="I49" s="76"/>
      <c r="J49" s="76"/>
    </row>
    <row r="50" spans="1:10" x14ac:dyDescent="0.25">
      <c r="A50" s="76"/>
      <c r="B50" s="76"/>
      <c r="C50" s="77"/>
      <c r="D50" s="78"/>
      <c r="E50" s="76"/>
      <c r="F50" s="76"/>
      <c r="G50" s="76"/>
      <c r="H50" s="78"/>
      <c r="I50" s="76"/>
      <c r="J50" s="76"/>
    </row>
    <row r="51" spans="1:10" x14ac:dyDescent="0.25">
      <c r="A51" s="76"/>
      <c r="B51" s="76"/>
      <c r="C51" s="77"/>
      <c r="D51" s="78"/>
      <c r="E51" s="76"/>
      <c r="F51" s="76"/>
      <c r="G51" s="76"/>
      <c r="H51" s="78"/>
      <c r="I51" s="76"/>
      <c r="J51" s="76"/>
    </row>
    <row r="52" spans="1:10" x14ac:dyDescent="0.25">
      <c r="A52" s="76"/>
      <c r="B52" s="76"/>
      <c r="C52" s="77"/>
      <c r="D52" s="78"/>
      <c r="E52" s="76"/>
      <c r="F52" s="76"/>
      <c r="G52" s="76"/>
      <c r="H52" s="78"/>
      <c r="I52" s="76"/>
      <c r="J52" s="76"/>
    </row>
    <row r="53" spans="1:10" x14ac:dyDescent="0.25">
      <c r="A53" s="76"/>
      <c r="B53" s="76"/>
      <c r="C53" s="77"/>
      <c r="D53" s="78"/>
      <c r="E53" s="76"/>
      <c r="F53" s="76"/>
      <c r="G53" s="76"/>
      <c r="H53" s="78"/>
      <c r="I53" s="76"/>
      <c r="J53" s="76"/>
    </row>
    <row r="54" spans="1:10" x14ac:dyDescent="0.25">
      <c r="A54" s="76"/>
      <c r="B54" s="76"/>
      <c r="C54" s="77"/>
      <c r="D54" s="78"/>
      <c r="E54" s="76"/>
      <c r="F54" s="76"/>
      <c r="G54" s="76"/>
      <c r="H54" s="78"/>
      <c r="I54" s="76"/>
      <c r="J54" s="76"/>
    </row>
    <row r="55" spans="1:10" x14ac:dyDescent="0.25">
      <c r="A55" s="76"/>
      <c r="B55" s="76"/>
      <c r="C55" s="77"/>
      <c r="D55" s="78"/>
      <c r="E55" s="76"/>
      <c r="F55" s="76"/>
      <c r="G55" s="76"/>
      <c r="H55" s="78"/>
      <c r="I55" s="76"/>
      <c r="J55" s="76"/>
    </row>
    <row r="56" spans="1:10" x14ac:dyDescent="0.25">
      <c r="A56" s="76"/>
      <c r="B56" s="76"/>
      <c r="C56" s="77"/>
      <c r="D56" s="78"/>
      <c r="E56" s="76"/>
      <c r="F56" s="76"/>
      <c r="G56" s="76"/>
      <c r="H56" s="78"/>
      <c r="I56" s="76"/>
      <c r="J56" s="76"/>
    </row>
  </sheetData>
  <mergeCells count="11">
    <mergeCell ref="A43:B43"/>
    <mergeCell ref="A44:B44"/>
    <mergeCell ref="A1:J1"/>
    <mergeCell ref="A6:J6"/>
    <mergeCell ref="A7:J7"/>
    <mergeCell ref="A9:A10"/>
    <mergeCell ref="B9:B10"/>
    <mergeCell ref="C9:C10"/>
    <mergeCell ref="D9:D10"/>
    <mergeCell ref="E9:J9"/>
    <mergeCell ref="A37:J37"/>
  </mergeCells>
  <pageMargins left="0.7" right="0.45"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T1-2025</vt:lpstr>
      <vt:lpstr>T2-2025</vt:lpstr>
      <vt:lpstr>T3-2025</vt:lpstr>
      <vt:lpstr>T4-2025</vt:lpstr>
      <vt:lpstr>T5-2025</vt:lpstr>
      <vt:lpstr>T6-2025</vt:lpstr>
      <vt:lpstr>T7-2025</vt:lpstr>
      <vt:lpstr>T8-2025</vt:lpstr>
      <vt:lpstr>T9-2025</vt:lpstr>
      <vt:lpstr>T10-2025</vt:lpstr>
      <vt:lpstr>T11-2025</vt:lpstr>
      <vt:lpstr>T12-2025</vt:lpstr>
      <vt:lpstr>Năm 2024</vt:lpstr>
      <vt:lpstr>Sheet1</vt:lpstr>
      <vt:lpstr>'T1-2025'!Print_Area</vt:lpstr>
      <vt:lpstr>'T2-2025'!Print_Area</vt:lpstr>
      <vt:lpstr>'T4-2025'!Print_Area</vt:lpstr>
      <vt:lpstr>'T5-2025'!Print_Area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 LONG</dc:creator>
  <cp:lastModifiedBy>Administrator</cp:lastModifiedBy>
  <cp:lastPrinted>2025-12-17T09:43:21Z</cp:lastPrinted>
  <dcterms:created xsi:type="dcterms:W3CDTF">2016-01-19T01:57:38Z</dcterms:created>
  <dcterms:modified xsi:type="dcterms:W3CDTF">2026-01-16T07:43:47Z</dcterms:modified>
</cp:coreProperties>
</file>